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Disclaimer" sheetId="1" r:id="rId1"/>
    <sheet name="Inputs" sheetId="2" state="veryHidden" r:id="rId2"/>
    <sheet name="Member Calcs" sheetId="3" state="veryHidden" r:id="rId3"/>
    <sheet name="Member Statement" sheetId="4" state="veryHidden" r:id="rId4"/>
    <sheet name="Print Member Statement" sheetId="5" state="veryHidden" r:id="rId5"/>
  </sheets>
  <definedNames>
    <definedName name="DAY">'Inputs'!$X$5:$X$34</definedName>
    <definedName name="MONTH">'Inputs'!$Y$5:$Y$16</definedName>
    <definedName name="NRA_NE">'Inputs'!$R$28:$R$35</definedName>
    <definedName name="NRA_NON_NE">'Inputs'!$R$28:$R$35</definedName>
    <definedName name="_xlnm.Print_Area" localSheetId="3">'Member Statement'!$B$1:$C$72</definedName>
    <definedName name="_xlnm.Print_Area" localSheetId="4">'Print Member Statement'!$B$1:$C$120</definedName>
    <definedName name="YEAR">'Inputs'!$Z$5:$Z$76</definedName>
  </definedNames>
  <calcPr fullCalcOnLoad="1" fullPrecision="0"/>
</workbook>
</file>

<file path=xl/comments3.xml><?xml version="1.0" encoding="utf-8"?>
<comments xmlns="http://schemas.openxmlformats.org/spreadsheetml/2006/main">
  <authors>
    <author>Author</author>
  </authors>
  <commentList>
    <comment ref="N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Assuming pensionable allowance has remained constant.</t>
        </r>
      </text>
    </comment>
    <comment ref="J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Retirement Date on Statement should reference earliest retirement date</t>
        </r>
      </text>
    </comment>
  </commentList>
</comments>
</file>

<file path=xl/sharedStrings.xml><?xml version="1.0" encoding="utf-8"?>
<sst xmlns="http://schemas.openxmlformats.org/spreadsheetml/2006/main" count="348" uniqueCount="221">
  <si>
    <t>NRD</t>
  </si>
  <si>
    <t>Age at NRD</t>
  </si>
  <si>
    <t>Age</t>
  </si>
  <si>
    <t>DOB</t>
  </si>
  <si>
    <t>FTE Salary</t>
  </si>
  <si>
    <t>Pensionable Allowance</t>
  </si>
  <si>
    <t>FT Equiv Pensionable Remuneration</t>
  </si>
  <si>
    <t>Accrued Service</t>
  </si>
  <si>
    <t>Accrued service with added yrs</t>
  </si>
  <si>
    <t>Future Service (capped)</t>
  </si>
  <si>
    <t>Future Service with added yrs</t>
  </si>
  <si>
    <t>Future Service</t>
  </si>
  <si>
    <t>Potential Service</t>
  </si>
  <si>
    <t>Include added yrs</t>
  </si>
  <si>
    <t>State Pension</t>
  </si>
  <si>
    <t>3 1/3rd State</t>
  </si>
  <si>
    <t>200ths accrual</t>
  </si>
  <si>
    <t>80ths accrual</t>
  </si>
  <si>
    <t>no</t>
  </si>
  <si>
    <t>Accrued</t>
  </si>
  <si>
    <t>Pension</t>
  </si>
  <si>
    <t>Potential</t>
  </si>
  <si>
    <t>Gratuity</t>
  </si>
  <si>
    <t>3/80ths accrual</t>
  </si>
  <si>
    <t>Disclaimer</t>
  </si>
  <si>
    <t>Weekly or monthly</t>
  </si>
  <si>
    <t>Monthly Paid</t>
  </si>
  <si>
    <t>Do you pay Class A or Class D PRSI</t>
  </si>
  <si>
    <t>PRSI Class</t>
  </si>
  <si>
    <t>Class A</t>
  </si>
  <si>
    <t>Class D</t>
  </si>
  <si>
    <t>Are you a member of the New Scheme</t>
  </si>
  <si>
    <t>New or Old Scheme</t>
  </si>
  <si>
    <t>Surname</t>
  </si>
  <si>
    <t>First Name</t>
  </si>
  <si>
    <t>Date of Birth</t>
  </si>
  <si>
    <t>Yes/No</t>
  </si>
  <si>
    <t>Yes</t>
  </si>
  <si>
    <t>Enter your service to date</t>
  </si>
  <si>
    <t>Enter Details of transferred service/added years/notional service</t>
  </si>
  <si>
    <t>Future Part Time %</t>
  </si>
  <si>
    <t>Accrued Service incl Transfer In</t>
  </si>
  <si>
    <t>Transferred in Service</t>
  </si>
  <si>
    <t>New or Non-New Entrant</t>
  </si>
  <si>
    <t>Additional Service for DIS/Ill-health</t>
  </si>
  <si>
    <t>Death Gratuity</t>
  </si>
  <si>
    <t>DIS Spouses Pension</t>
  </si>
  <si>
    <t>Potential Service - NRA 65</t>
  </si>
  <si>
    <t>Future Service (capped) - NRA 65</t>
  </si>
  <si>
    <t>Future Service 65</t>
  </si>
  <si>
    <t>Prospective Pension 65</t>
  </si>
  <si>
    <t>Childrens Max Pension</t>
  </si>
  <si>
    <t>4 or more</t>
  </si>
  <si>
    <t>Enter Future Working Pattern</t>
  </si>
  <si>
    <t>Illustration of Potential Retirement Benefits</t>
  </si>
  <si>
    <t>Name:</t>
  </si>
  <si>
    <t>Date of Birth:</t>
  </si>
  <si>
    <t>Pensionable Service Completed</t>
  </si>
  <si>
    <t>3.333333 x SCP:</t>
  </si>
  <si>
    <t>E &amp; OE</t>
  </si>
  <si>
    <t>Page 2 of 2</t>
  </si>
  <si>
    <t>Benefit Statement Notes</t>
  </si>
  <si>
    <t>Benefit Statement</t>
  </si>
  <si>
    <t>Retirement Benefits</t>
  </si>
  <si>
    <t>Preserved Benefits</t>
  </si>
  <si>
    <t>Actuarially Reduced Retirement</t>
  </si>
  <si>
    <t>Retirement Age</t>
  </si>
  <si>
    <t>Retire at age 60</t>
  </si>
  <si>
    <t>Retire at age 61</t>
  </si>
  <si>
    <t>Retire at age 62</t>
  </si>
  <si>
    <t>Retire at age 63</t>
  </si>
  <si>
    <t>Retire at age 64</t>
  </si>
  <si>
    <t>Retire at age 65</t>
  </si>
  <si>
    <t>Normal Retirement Ages</t>
  </si>
  <si>
    <t>Non New Entrant</t>
  </si>
  <si>
    <t>New Entrant</t>
  </si>
  <si>
    <t>Age/Date</t>
  </si>
  <si>
    <t>Date</t>
  </si>
  <si>
    <t>Day</t>
  </si>
  <si>
    <t>Month</t>
  </si>
  <si>
    <t>Year</t>
  </si>
  <si>
    <t>Day Start</t>
  </si>
  <si>
    <t>Month Start</t>
  </si>
  <si>
    <t>Year Start</t>
  </si>
  <si>
    <t>Day end</t>
  </si>
  <si>
    <t>Month End</t>
  </si>
  <si>
    <t>Year End</t>
  </si>
  <si>
    <t>PT Perc</t>
  </si>
  <si>
    <t>Service 1</t>
  </si>
  <si>
    <t>Service 2</t>
  </si>
  <si>
    <t>Service 3</t>
  </si>
  <si>
    <t>Service 4</t>
  </si>
  <si>
    <t>Service</t>
  </si>
  <si>
    <t>Retire at age 50</t>
  </si>
  <si>
    <t>Retire at age 51</t>
  </si>
  <si>
    <t>Retire at age 52</t>
  </si>
  <si>
    <t>Retire at age 53</t>
  </si>
  <si>
    <t>Retire at age 54</t>
  </si>
  <si>
    <t>Retire at age 55</t>
  </si>
  <si>
    <t>Retire at age 56</t>
  </si>
  <si>
    <t>Retire at age 57</t>
  </si>
  <si>
    <t>Retire at age 58</t>
  </si>
  <si>
    <t>Retire at age 59</t>
  </si>
  <si>
    <t>Lump Sum</t>
  </si>
  <si>
    <t>Reduction Factor</t>
  </si>
  <si>
    <t>Retire at age 66</t>
  </si>
  <si>
    <t>Retire at age 67</t>
  </si>
  <si>
    <t>Retire at age 68</t>
  </si>
  <si>
    <t>Retire at age 69</t>
  </si>
  <si>
    <t>Retire at age 70</t>
  </si>
  <si>
    <t>Date Only</t>
  </si>
  <si>
    <t>Service and Salary Details</t>
  </si>
  <si>
    <t>Benefit Statements</t>
  </si>
  <si>
    <t>Scheme Details</t>
  </si>
  <si>
    <t>Personal Details</t>
  </si>
  <si>
    <r>
      <t>IMPORTANT:</t>
    </r>
    <r>
      <rPr>
        <b/>
        <sz val="9"/>
        <color indexed="10"/>
        <rFont val="Arial"/>
        <family val="2"/>
      </rPr>
      <t xml:space="preserve">  PLEASE SEE SUPPLEMENTAL INFORMATION OVERLEAF</t>
    </r>
  </si>
  <si>
    <t>Death in Service Benefits</t>
  </si>
  <si>
    <t>Spouses DIR Pension</t>
  </si>
  <si>
    <t>Childrens Max DIR Pension</t>
  </si>
  <si>
    <t>Pensions are payable in respect of children up to a maximum of</t>
  </si>
  <si>
    <t xml:space="preserve">Members should contact the Department of Social Protection to ascertain eligibility for benefits </t>
  </si>
  <si>
    <t>under Social Welfare Acts (www.welfare.ie or LoCall 1890 500 000)</t>
  </si>
  <si>
    <t/>
  </si>
  <si>
    <t>1. This Statement should be read in conjunction with the Member Explanatory Leaflet</t>
  </si>
  <si>
    <t xml:space="preserve">    The Scheme Rules will take precedence in the event of any dispute.  </t>
  </si>
  <si>
    <t xml:space="preserve">3. Member benefits may be subject to revision in the event that a Pension Adjustment Order is granted pursuant to Family Law </t>
  </si>
  <si>
    <t xml:space="preserve">    Act proceedings</t>
  </si>
  <si>
    <t xml:space="preserve">    All pensions are payable in equal monthly instalments in arrears</t>
  </si>
  <si>
    <t xml:space="preserve">   member does not qualify for a State Contributory Pension or other Social Welfare benefits through no fault of their own.  This </t>
  </si>
  <si>
    <t xml:space="preserve">   Supplementary Pension would be the difference between co-ordinated pension and a pension as if it had been calculated on a </t>
  </si>
  <si>
    <t xml:space="preserve">   non-coordinated basis less any other Social Welfare benefits payable.  Further details may be obtained by contacting </t>
  </si>
  <si>
    <t xml:space="preserve">   the Pensions Section.</t>
  </si>
  <si>
    <t xml:space="preserve">7. Should you cease employment prior to Normal Retirement Age and should your new employer be a Public Sector body deemed </t>
  </si>
  <si>
    <t>Page 1 of 2</t>
  </si>
  <si>
    <t xml:space="preserve">If you are a member of the Spouse and Children's Scheme and should you predecease your </t>
  </si>
  <si>
    <t>IMPORTANT:  PLEASE SEE SUPPLEMENTAL INFORMATION OVERLEAF</t>
  </si>
  <si>
    <t>Below Minimum Normal</t>
  </si>
  <si>
    <t>Below Minimum Early Ret</t>
  </si>
  <si>
    <t>Enter Pensionable Remuneration</t>
  </si>
  <si>
    <t xml:space="preserve">Please Read the Disclaimer Below. </t>
  </si>
  <si>
    <t>If you agree to the Disclaimer you will be brought to the Pension Estimator</t>
  </si>
  <si>
    <t>The data, information or results contained in, furnished by or obtained from the use of the Pension Estimator</t>
  </si>
  <si>
    <t xml:space="preserve">is for the general guide of members with respect to pension scheme benefits. No responsibility is accepted by </t>
  </si>
  <si>
    <t xml:space="preserve">or on behalf of The University of Dublin for any errors, omissions, or misleading statements obtained through </t>
  </si>
  <si>
    <t xml:space="preserve">the use of the Pension Estimator. The data, information or results obtained through the use of the Pension </t>
  </si>
  <si>
    <t xml:space="preserve">Estimator have no legal standing and, in particular, are not suitable for use in family law cases. The legislation, </t>
  </si>
  <si>
    <t xml:space="preserve">policies and terms applicable to your pension scheme will govern any entitlements to pension scheme benefits. </t>
  </si>
  <si>
    <t xml:space="preserve">The calculation provided by the Pension Estimator is based on the information provided by you. In the event of </t>
  </si>
  <si>
    <t xml:space="preserve">any error in this estimate, the legal requirements of the scheme rules will govern. At the time of retirement or should you </t>
  </si>
  <si>
    <t>require information for official purposes you should calculate the relevant pension department.</t>
  </si>
  <si>
    <t>Other</t>
  </si>
  <si>
    <t xml:space="preserve">                                                 University of Dublin Trinity College Model Pension Scheme ("the Scheme")</t>
  </si>
  <si>
    <t>year(s)</t>
  </si>
  <si>
    <t>day(s)</t>
  </si>
  <si>
    <t>Minimum NRD</t>
  </si>
  <si>
    <t>Transferred in Service Earned</t>
  </si>
  <si>
    <t>Select one of the following benefit statements</t>
  </si>
  <si>
    <t>State</t>
  </si>
  <si>
    <t>Transferred In Service / Additional Years:</t>
  </si>
  <si>
    <t>(in respect of three or more children)</t>
  </si>
  <si>
    <t>Your pension under the Scheme payable is in addition to any entitlement to the State Contributory Pension that</t>
  </si>
  <si>
    <t xml:space="preserve">    have been paid. Your final retirement benefits will be subject to formal approval at retirement.  </t>
  </si>
  <si>
    <t xml:space="preserve">4. Please apply in writing for your retirement benefits at least three months prior to your proposed retirement. </t>
  </si>
  <si>
    <t xml:space="preserve">    under this Scheme will be as authorised from time to time by the Higher Education Authority with the consent of </t>
  </si>
  <si>
    <t xml:space="preserve">6. Under the terms of the  Scheme, a Supplementary Pension may be payable by the College in the event that a </t>
  </si>
  <si>
    <t>80ths Pension</t>
  </si>
  <si>
    <t>200ths Pension</t>
  </si>
  <si>
    <t>HSE site does not abate TV service</t>
  </si>
  <si>
    <t>Deferred - Over min NRA</t>
  </si>
  <si>
    <t>Early Retirement</t>
  </si>
  <si>
    <t>Pensionable Remuneration for illustration purposes:</t>
  </si>
  <si>
    <t>Once-off Tax Free Retirement Gratuity</t>
  </si>
  <si>
    <t>Choose to retire/leave on a particular date or age</t>
  </si>
  <si>
    <t>New Entrant / Other :</t>
  </si>
  <si>
    <t>Normal Retirement Date:</t>
  </si>
  <si>
    <t>Future Pensionable Service</t>
  </si>
  <si>
    <t>from Date of Joining Scheme to date:</t>
  </si>
  <si>
    <t>John</t>
  </si>
  <si>
    <t>Weekly Other</t>
  </si>
  <si>
    <t>5. Increases in preserved benefits and pensions in payment are not guaranteed although it has been the practice in the</t>
  </si>
  <si>
    <t xml:space="preserve">    the Minister for Education and Skills and the Minister for Public Expenditure &amp; Reform.</t>
  </si>
  <si>
    <t>Current Annual State Contributory Pension (SCP) p.a.:</t>
  </si>
  <si>
    <t xml:space="preserve">                                                               and Allied Spouse's, Civil Partner's, and Children’s Pension Scheme</t>
  </si>
  <si>
    <t>Doe</t>
  </si>
  <si>
    <t>John Doe</t>
  </si>
  <si>
    <t>Service 5</t>
  </si>
  <si>
    <t>Service 6</t>
  </si>
  <si>
    <t>Service 7</t>
  </si>
  <si>
    <t>Normal Retirement Date</t>
  </si>
  <si>
    <t>Retire at 30 Sept after age 65</t>
  </si>
  <si>
    <t>Calendar Future</t>
  </si>
  <si>
    <t>For Preserved</t>
  </si>
  <si>
    <t>2. This statement is for illustrative purposes only and is not legally binding.  It assumes that all contributions due</t>
  </si>
  <si>
    <t>0 year(s)</t>
  </si>
  <si>
    <t xml:space="preserve">    University to increase pensions in line with salary increases awarded to serving staff.  Any increases in such benefits </t>
  </si>
  <si>
    <t xml:space="preserve">    to be an Approved Organisation under the terms of the Superannuation and Pensions Act 1963, and subject to the agreement </t>
  </si>
  <si>
    <t xml:space="preserve">    between the organisation concerned, it is possible that your Pensionable Service under this Scheme to date of leaving service </t>
  </si>
  <si>
    <t xml:space="preserve">    may transfer to your new employer’s Pension Scheme.   If you wish to initiate a transfer of service to such an Approved </t>
  </si>
  <si>
    <t xml:space="preserve">    Organisation, you should contact the Pensions Officer of your new employer in the first instance.</t>
  </si>
  <si>
    <t>n/a</t>
  </si>
  <si>
    <t>Anticipated Retirement Date</t>
  </si>
  <si>
    <t xml:space="preserve">Total Potential Service to Retirement Date </t>
  </si>
  <si>
    <t>Co-ordinated Scheme Pension</t>
  </si>
  <si>
    <t>Plus</t>
  </si>
  <si>
    <t>Total Scheme Pension</t>
  </si>
  <si>
    <t>€0 per annum</t>
  </si>
  <si>
    <t>Spouses and Childrens Benefits on Death after Retirement based on the information above</t>
  </si>
  <si>
    <t xml:space="preserve">spouse after your retirement, your spouse would receive a pension of </t>
  </si>
  <si>
    <t>8. Please note that any retirement taken before your contractual retirement date is deemed to be an early retirement. Please</t>
  </si>
  <si>
    <t xml:space="preserve">    refer to the HR website for details regarding this process and the approval needed, or alternatively contact the Pensions Office.</t>
  </si>
  <si>
    <t>to Date of Retirement (Age 65 and 9 Months)</t>
  </si>
  <si>
    <t>Calculation of Illustrative Retirement Benefits payable from 30/09/2035 based on the information above</t>
  </si>
  <si>
    <t>Are you paid Fortnightly or Monthly</t>
  </si>
  <si>
    <t>Fortnightly Paid</t>
  </si>
  <si>
    <t>Fortnightly / Monthly</t>
  </si>
  <si>
    <t>12.224 year(s)</t>
  </si>
  <si>
    <t>may be payable separately by the Department of Social Protection – currently €13,843 per annum (full rate).</t>
  </si>
  <si>
    <t>Date Prepared 10/07/2023</t>
  </si>
  <si>
    <t>3/80 * 12.224 years * €0</t>
  </si>
  <si>
    <t>1/200 * 12.224 years * €0</t>
  </si>
  <si>
    <t>1/80 * 12.224 years * €0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</si>
</sst>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"/>
    <numFmt numFmtId="165" formatCode="0.0%"/>
    <numFmt numFmtId="166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0" fontId="6" fillId="0" borderId="0" xfId="42" applyNumberFormat="1" applyFont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2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42" applyNumberFormat="1" applyFont="1" applyFill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4" fontId="3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/>
    </xf>
    <xf numFmtId="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4" fillId="34" borderId="10" xfId="0" applyFont="1" applyFill="1" applyBorder="1" applyAlignment="1">
      <alignment horizontal="left"/>
    </xf>
    <xf numFmtId="0" fontId="15" fillId="34" borderId="11" xfId="0" applyFont="1" applyFill="1" applyBorder="1" applyAlignment="1">
      <alignment horizontal="left"/>
    </xf>
    <xf numFmtId="0" fontId="14" fillId="34" borderId="12" xfId="0" applyFont="1" applyFill="1" applyBorder="1" applyAlignment="1">
      <alignment horizontal="left"/>
    </xf>
    <xf numFmtId="0" fontId="15" fillId="34" borderId="13" xfId="0" applyFont="1" applyFill="1" applyBorder="1" applyAlignment="1">
      <alignment horizontal="left"/>
    </xf>
    <xf numFmtId="0" fontId="17" fillId="34" borderId="12" xfId="0" applyFont="1" applyFill="1" applyBorder="1" applyAlignment="1">
      <alignment horizontal="left"/>
    </xf>
    <xf numFmtId="0" fontId="22" fillId="34" borderId="12" xfId="0" applyFont="1" applyFill="1" applyBorder="1" applyAlignment="1">
      <alignment horizontal="left"/>
    </xf>
    <xf numFmtId="14" fontId="15" fillId="34" borderId="13" xfId="0" applyNumberFormat="1" applyFont="1" applyFill="1" applyBorder="1" applyAlignment="1">
      <alignment horizontal="left"/>
    </xf>
    <xf numFmtId="0" fontId="15" fillId="34" borderId="12" xfId="0" applyFont="1" applyFill="1" applyBorder="1" applyAlignment="1">
      <alignment horizontal="left"/>
    </xf>
    <xf numFmtId="2" fontId="15" fillId="34" borderId="13" xfId="0" applyNumberFormat="1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7" fillId="34" borderId="14" xfId="0" applyFont="1" applyFill="1" applyBorder="1" applyAlignment="1">
      <alignment horizontal="left"/>
    </xf>
    <xf numFmtId="0" fontId="15" fillId="34" borderId="15" xfId="0" applyFont="1" applyFill="1" applyBorder="1" applyAlignment="1">
      <alignment horizontal="left"/>
    </xf>
    <xf numFmtId="0" fontId="18" fillId="34" borderId="12" xfId="0" applyFont="1" applyFill="1" applyBorder="1" applyAlignment="1">
      <alignment horizontal="left"/>
    </xf>
    <xf numFmtId="0" fontId="19" fillId="34" borderId="12" xfId="0" applyFont="1" applyFill="1" applyBorder="1" applyAlignment="1">
      <alignment horizontal="left"/>
    </xf>
    <xf numFmtId="0" fontId="15" fillId="34" borderId="16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left"/>
    </xf>
    <xf numFmtId="164" fontId="15" fillId="34" borderId="13" xfId="0" applyNumberFormat="1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21" fillId="34" borderId="12" xfId="0" applyFont="1" applyFill="1" applyBorder="1" applyAlignment="1">
      <alignment horizontal="left"/>
    </xf>
    <xf numFmtId="0" fontId="23" fillId="34" borderId="12" xfId="52" applyFont="1" applyFill="1" applyBorder="1" applyAlignment="1" applyProtection="1">
      <alignment horizontal="left" indent="4"/>
      <protection/>
    </xf>
    <xf numFmtId="0" fontId="15" fillId="34" borderId="12" xfId="0" applyFont="1" applyFill="1" applyBorder="1" applyAlignment="1">
      <alignment horizontal="left" indent="5"/>
    </xf>
    <xf numFmtId="0" fontId="21" fillId="34" borderId="18" xfId="0" applyFont="1" applyFill="1" applyBorder="1" applyAlignment="1">
      <alignment horizontal="left"/>
    </xf>
    <xf numFmtId="0" fontId="15" fillId="34" borderId="19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left"/>
    </xf>
    <xf numFmtId="14" fontId="15" fillId="35" borderId="0" xfId="0" applyNumberFormat="1" applyFont="1" applyFill="1" applyBorder="1" applyAlignment="1">
      <alignment horizontal="left"/>
    </xf>
    <xf numFmtId="8" fontId="15" fillId="35" borderId="0" xfId="0" applyNumberFormat="1" applyFont="1" applyFill="1" applyBorder="1" applyAlignment="1">
      <alignment horizontal="left"/>
    </xf>
    <xf numFmtId="8" fontId="14" fillId="35" borderId="0" xfId="0" applyNumberFormat="1" applyFont="1" applyFill="1" applyBorder="1" applyAlignment="1">
      <alignment horizontal="left"/>
    </xf>
    <xf numFmtId="8" fontId="20" fillId="35" borderId="0" xfId="0" applyNumberFormat="1" applyFont="1" applyFill="1" applyBorder="1" applyAlignment="1">
      <alignment horizontal="left"/>
    </xf>
    <xf numFmtId="0" fontId="14" fillId="35" borderId="0" xfId="0" applyFont="1" applyFill="1" applyBorder="1" applyAlignment="1">
      <alignment horizontal="left" indent="10"/>
    </xf>
    <xf numFmtId="0" fontId="21" fillId="34" borderId="12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left" indent="10"/>
    </xf>
    <xf numFmtId="0" fontId="15" fillId="34" borderId="18" xfId="0" applyFont="1" applyFill="1" applyBorder="1" applyAlignment="1">
      <alignment horizontal="left" indent="10"/>
    </xf>
    <xf numFmtId="0" fontId="15" fillId="35" borderId="0" xfId="0" applyFont="1" applyFill="1" applyBorder="1" applyAlignment="1">
      <alignment horizontal="left" indent="10"/>
    </xf>
    <xf numFmtId="0" fontId="22" fillId="34" borderId="12" xfId="0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15" fillId="34" borderId="22" xfId="0" applyFont="1" applyFill="1" applyBorder="1" applyAlignment="1" applyProtection="1">
      <alignment horizontal="right"/>
      <protection locked="0"/>
    </xf>
    <xf numFmtId="14" fontId="15" fillId="34" borderId="22" xfId="0" applyNumberFormat="1" applyFont="1" applyFill="1" applyBorder="1" applyAlignment="1" applyProtection="1">
      <alignment horizontal="right"/>
      <protection locked="0"/>
    </xf>
    <xf numFmtId="0" fontId="15" fillId="34" borderId="22" xfId="0" applyFont="1" applyFill="1" applyBorder="1" applyAlignment="1" applyProtection="1">
      <alignment/>
      <protection locked="0"/>
    </xf>
    <xf numFmtId="164" fontId="15" fillId="34" borderId="22" xfId="0" applyNumberFormat="1" applyFont="1" applyFill="1" applyBorder="1" applyAlignment="1" applyProtection="1">
      <alignment horizontal="right"/>
      <protection locked="0"/>
    </xf>
    <xf numFmtId="9" fontId="15" fillId="34" borderId="22" xfId="0" applyNumberFormat="1" applyFont="1" applyFill="1" applyBorder="1" applyAlignment="1" applyProtection="1">
      <alignment horizontal="right"/>
      <protection locked="0"/>
    </xf>
    <xf numFmtId="0" fontId="15" fillId="34" borderId="22" xfId="0" applyFont="1" applyFill="1" applyBorder="1" applyAlignment="1" applyProtection="1">
      <alignment horizontal="center"/>
      <protection locked="0"/>
    </xf>
    <xf numFmtId="0" fontId="15" fillId="34" borderId="22" xfId="0" applyFont="1" applyFill="1" applyBorder="1" applyAlignment="1" applyProtection="1">
      <alignment horizontal="left"/>
      <protection locked="0"/>
    </xf>
    <xf numFmtId="0" fontId="24" fillId="34" borderId="23" xfId="0" applyFont="1" applyFill="1" applyBorder="1" applyAlignment="1" applyProtection="1">
      <alignment/>
      <protection/>
    </xf>
    <xf numFmtId="0" fontId="15" fillId="34" borderId="24" xfId="0" applyFont="1" applyFill="1" applyBorder="1" applyAlignment="1" applyProtection="1">
      <alignment/>
      <protection/>
    </xf>
    <xf numFmtId="0" fontId="15" fillId="34" borderId="24" xfId="0" applyFont="1" applyFill="1" applyBorder="1" applyAlignment="1" applyProtection="1">
      <alignment horizontal="right"/>
      <protection/>
    </xf>
    <xf numFmtId="0" fontId="15" fillId="34" borderId="25" xfId="0" applyFont="1" applyFill="1" applyBorder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right"/>
      <protection/>
    </xf>
    <xf numFmtId="0" fontId="15" fillId="34" borderId="27" xfId="0" applyFont="1" applyFill="1" applyBorder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9" fontId="15" fillId="35" borderId="0" xfId="0" applyNumberFormat="1" applyFont="1" applyFill="1" applyAlignment="1" applyProtection="1">
      <alignment/>
      <protection/>
    </xf>
    <xf numFmtId="0" fontId="15" fillId="34" borderId="28" xfId="0" applyFont="1" applyFill="1" applyBorder="1" applyAlignment="1" applyProtection="1">
      <alignment/>
      <protection/>
    </xf>
    <xf numFmtId="0" fontId="15" fillId="34" borderId="29" xfId="0" applyFont="1" applyFill="1" applyBorder="1" applyAlignment="1" applyProtection="1">
      <alignment/>
      <protection/>
    </xf>
    <xf numFmtId="0" fontId="15" fillId="34" borderId="30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0" fontId="15" fillId="35" borderId="0" xfId="0" applyFont="1" applyFill="1" applyAlignment="1" applyProtection="1">
      <alignment horizontal="right"/>
      <protection/>
    </xf>
    <xf numFmtId="0" fontId="20" fillId="34" borderId="26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right"/>
      <protection/>
    </xf>
    <xf numFmtId="0" fontId="20" fillId="34" borderId="27" xfId="0" applyFont="1" applyFill="1" applyBorder="1" applyAlignment="1" applyProtection="1">
      <alignment/>
      <protection/>
    </xf>
    <xf numFmtId="0" fontId="20" fillId="35" borderId="0" xfId="0" applyFont="1" applyFill="1" applyAlignment="1" applyProtection="1">
      <alignment/>
      <protection/>
    </xf>
    <xf numFmtId="0" fontId="15" fillId="34" borderId="0" xfId="0" applyFont="1" applyFill="1" applyBorder="1" applyAlignment="1" applyProtection="1">
      <alignment horizontal="left"/>
      <protection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15" fillId="34" borderId="29" xfId="0" applyFont="1" applyFill="1" applyBorder="1" applyAlignment="1" applyProtection="1">
      <alignment/>
      <protection/>
    </xf>
    <xf numFmtId="0" fontId="10" fillId="34" borderId="12" xfId="0" applyFont="1" applyFill="1" applyBorder="1" applyAlignment="1">
      <alignment/>
    </xf>
    <xf numFmtId="164" fontId="14" fillId="34" borderId="17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2" fillId="35" borderId="0" xfId="0" applyFont="1" applyFill="1" applyBorder="1" applyAlignment="1" applyProtection="1">
      <alignment horizontal="right"/>
      <protection/>
    </xf>
    <xf numFmtId="0" fontId="15" fillId="34" borderId="29" xfId="0" applyFont="1" applyFill="1" applyBorder="1" applyAlignment="1" applyProtection="1">
      <alignment horizontal="right"/>
      <protection/>
    </xf>
    <xf numFmtId="0" fontId="22" fillId="34" borderId="0" xfId="0" applyFont="1" applyFill="1" applyBorder="1" applyAlignment="1" applyProtection="1">
      <alignment/>
      <protection/>
    </xf>
    <xf numFmtId="0" fontId="14" fillId="34" borderId="16" xfId="0" applyFont="1" applyFill="1" applyBorder="1" applyAlignment="1">
      <alignment horizontal="left"/>
    </xf>
    <xf numFmtId="0" fontId="15" fillId="34" borderId="22" xfId="0" applyFont="1" applyFill="1" applyBorder="1" applyAlignment="1" applyProtection="1">
      <alignment horizontal="right"/>
      <protection locked="0"/>
    </xf>
    <xf numFmtId="0" fontId="15" fillId="35" borderId="0" xfId="0" applyFont="1" applyFill="1" applyAlignment="1" applyProtection="1">
      <alignment/>
      <protection/>
    </xf>
    <xf numFmtId="2" fontId="15" fillId="35" borderId="0" xfId="0" applyNumberFormat="1" applyFont="1" applyFill="1" applyAlignment="1" applyProtection="1">
      <alignment/>
      <protection/>
    </xf>
    <xf numFmtId="166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0" fontId="15" fillId="35" borderId="0" xfId="0" applyFont="1" applyFill="1" applyAlignment="1" applyProtection="1">
      <alignment horizontal="center"/>
      <protection/>
    </xf>
    <xf numFmtId="0" fontId="15" fillId="35" borderId="0" xfId="0" applyNumberFormat="1" applyFont="1" applyFill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39</xdr:row>
      <xdr:rowOff>28575</xdr:rowOff>
    </xdr:from>
    <xdr:to>
      <xdr:col>3</xdr:col>
      <xdr:colOff>1504950</xdr:colOff>
      <xdr:row>42</xdr:row>
      <xdr:rowOff>19050</xdr:rowOff>
    </xdr:to>
    <xdr:pic macro="[0]!Sheet2.Print_Statement_Click">
      <xdr:nvPicPr>
        <xdr:cNvPr id="1" name="Print_Statemen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76425" y="5981700"/>
          <a:ext cx="3886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3:N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83" customWidth="1"/>
  </cols>
  <sheetData>
    <row r="2" ht="13.5" thickBot="1"/>
    <row r="3" spans="2:14" ht="18">
      <c r="B3" s="84" t="s">
        <v>139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2:14" ht="18">
      <c r="B4" s="127" t="s">
        <v>140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2:14" ht="8.25" customHeight="1">
      <c r="B5" s="12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2:14" ht="15.75">
      <c r="B6" s="90" t="s">
        <v>24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</row>
    <row r="7" spans="2:14" ht="12.75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2:14" ht="12.75">
      <c r="B8" s="91" t="s">
        <v>141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</row>
    <row r="9" spans="2:14" ht="3" customHeight="1">
      <c r="B9" s="91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2:14" ht="12.75">
      <c r="B10" s="91" t="s">
        <v>142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</row>
    <row r="11" spans="2:14" ht="3" customHeight="1">
      <c r="B11" s="91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</row>
    <row r="12" spans="2:14" ht="12.75">
      <c r="B12" s="91" t="s">
        <v>143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</row>
    <row r="13" spans="2:14" ht="3" customHeight="1">
      <c r="B13" s="91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</row>
    <row r="14" spans="2:14" ht="12.75">
      <c r="B14" s="91" t="s">
        <v>144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</row>
    <row r="15" spans="2:14" ht="3" customHeight="1">
      <c r="B15" s="91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2:14" ht="12.75">
      <c r="B16" s="91" t="s">
        <v>145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</row>
    <row r="17" spans="2:14" ht="3" customHeight="1">
      <c r="B17" s="91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</row>
    <row r="18" spans="2:14" ht="12.75">
      <c r="B18" s="91" t="s">
        <v>146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</row>
    <row r="19" spans="2:14" ht="3" customHeight="1">
      <c r="B19" s="91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</row>
    <row r="20" spans="2:14" ht="12.75">
      <c r="B20" s="91" t="s">
        <v>147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9"/>
    </row>
    <row r="21" spans="2:14" ht="3" customHeight="1">
      <c r="B21" s="9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2:14" ht="12.75">
      <c r="B22" s="91" t="s">
        <v>148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2:14" ht="3" customHeight="1">
      <c r="B23" s="91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9"/>
    </row>
    <row r="24" spans="2:14" ht="12.75">
      <c r="B24" s="91" t="s">
        <v>149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2:14" ht="13.5" thickBot="1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Z15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106" customWidth="1"/>
    <col min="2" max="2" width="51.00390625" style="106" customWidth="1"/>
    <col min="3" max="3" width="3.7109375" style="106" bestFit="1" customWidth="1"/>
    <col min="4" max="4" width="26.7109375" style="117" customWidth="1"/>
    <col min="5" max="5" width="7.421875" style="106" customWidth="1"/>
    <col min="6" max="6" width="4.7109375" style="106" customWidth="1"/>
    <col min="7" max="7" width="5.57421875" style="106" customWidth="1"/>
    <col min="8" max="8" width="10.28125" style="106" customWidth="1"/>
    <col min="9" max="17" width="9.140625" style="106" customWidth="1"/>
    <col min="18" max="18" width="10.00390625" style="106" hidden="1" customWidth="1"/>
    <col min="19" max="26" width="9.140625" style="106" hidden="1" customWidth="1"/>
    <col min="27" max="16384" width="9.140625" style="106" customWidth="1"/>
  </cols>
  <sheetData>
    <row r="2" spans="2:8" ht="12">
      <c r="B2" s="102" t="s">
        <v>113</v>
      </c>
      <c r="C2" s="103"/>
      <c r="D2" s="104"/>
      <c r="E2" s="103"/>
      <c r="F2" s="103"/>
      <c r="G2" s="103"/>
      <c r="H2" s="105"/>
    </row>
    <row r="3" spans="2:8" ht="12">
      <c r="B3" s="107"/>
      <c r="C3" s="108"/>
      <c r="D3" s="109"/>
      <c r="E3" s="108"/>
      <c r="F3" s="108"/>
      <c r="G3" s="108"/>
      <c r="H3" s="110"/>
    </row>
    <row r="4" spans="2:26" ht="12">
      <c r="B4" s="142" t="s">
        <v>212</v>
      </c>
      <c r="C4" s="108"/>
      <c r="D4" s="135" t="s">
        <v>26</v>
      </c>
      <c r="E4" s="108"/>
      <c r="F4" s="108"/>
      <c r="G4" s="108"/>
      <c r="H4" s="110"/>
      <c r="R4" s="111" t="s">
        <v>25</v>
      </c>
      <c r="V4" s="112">
        <v>1</v>
      </c>
      <c r="X4" s="106" t="s">
        <v>78</v>
      </c>
      <c r="Y4" s="106" t="s">
        <v>79</v>
      </c>
      <c r="Z4" s="106" t="s">
        <v>80</v>
      </c>
    </row>
    <row r="5" spans="2:26" ht="12">
      <c r="B5" s="107"/>
      <c r="C5" s="108"/>
      <c r="D5" s="109"/>
      <c r="E5" s="108"/>
      <c r="F5" s="108"/>
      <c r="G5" s="108"/>
      <c r="H5" s="110"/>
      <c r="R5" s="106" t="s">
        <v>213</v>
      </c>
      <c r="V5" s="112">
        <v>0.99</v>
      </c>
      <c r="X5" s="106">
        <v>1</v>
      </c>
      <c r="Y5" s="106">
        <v>1</v>
      </c>
      <c r="Z5" s="106">
        <v>2010</v>
      </c>
    </row>
    <row r="6" spans="2:26" ht="12">
      <c r="B6" s="107" t="s">
        <v>27</v>
      </c>
      <c r="C6" s="108"/>
      <c r="D6" s="95" t="s">
        <v>29</v>
      </c>
      <c r="E6" s="108"/>
      <c r="F6" s="108"/>
      <c r="G6" s="108"/>
      <c r="H6" s="110"/>
      <c r="R6" s="106" t="s">
        <v>26</v>
      </c>
      <c r="V6" s="112">
        <v>0.98</v>
      </c>
      <c r="X6" s="106">
        <f>X5+1</f>
        <v>2</v>
      </c>
      <c r="Y6" s="106">
        <f>Y5+1</f>
        <v>2</v>
      </c>
      <c r="Z6" s="106">
        <f>Z5+1</f>
        <v>2011</v>
      </c>
    </row>
    <row r="7" spans="2:26" ht="12">
      <c r="B7" s="107"/>
      <c r="C7" s="108"/>
      <c r="D7" s="109"/>
      <c r="E7" s="108"/>
      <c r="F7" s="108"/>
      <c r="G7" s="108"/>
      <c r="H7" s="110"/>
      <c r="V7" s="112">
        <v>0.97</v>
      </c>
      <c r="X7" s="106">
        <f aca="true" t="shared" si="0" ref="X7:X35">X6+1</f>
        <v>3</v>
      </c>
      <c r="Y7" s="106">
        <f aca="true" t="shared" si="1" ref="Y7:Y16">Y6+1</f>
        <v>3</v>
      </c>
      <c r="Z7" s="106">
        <f aca="true" t="shared" si="2" ref="Z7:Z70">Z6+1</f>
        <v>2012</v>
      </c>
    </row>
    <row r="8" spans="2:26" ht="12">
      <c r="B8" s="113" t="s">
        <v>31</v>
      </c>
      <c r="C8" s="114"/>
      <c r="D8" s="95" t="s">
        <v>75</v>
      </c>
      <c r="E8" s="114"/>
      <c r="F8" s="114"/>
      <c r="G8" s="114"/>
      <c r="H8" s="115"/>
      <c r="V8" s="112">
        <v>0.96</v>
      </c>
      <c r="X8" s="106">
        <f t="shared" si="0"/>
        <v>4</v>
      </c>
      <c r="Y8" s="106">
        <f t="shared" si="1"/>
        <v>4</v>
      </c>
      <c r="Z8" s="106">
        <f t="shared" si="2"/>
        <v>2013</v>
      </c>
    </row>
    <row r="9" spans="2:26" ht="12">
      <c r="B9" s="116"/>
      <c r="C9" s="116"/>
      <c r="D9" s="131">
        <f>IF(AND(D4=$R$5,$D$6=$R$10,$D$8=$R$15),"Please contact the Pensions Office at TCD Human Resources for confirmation of your member category",IF(AND($D$4=$R$5,$D$6=$R$11),"It is not possible for a Weekly Paid member to pay Class D PRSI",IF(AND($D$8=$R$14,$D$6=$R$11),"It is not possible to pay Class D PRSI and be a New Entrant","")))</f>
      </c>
      <c r="E9" s="116"/>
      <c r="F9" s="116"/>
      <c r="G9" s="116"/>
      <c r="R9" s="111" t="s">
        <v>28</v>
      </c>
      <c r="V9" s="112">
        <v>0.95</v>
      </c>
      <c r="X9" s="106">
        <f t="shared" si="0"/>
        <v>5</v>
      </c>
      <c r="Y9" s="106">
        <f t="shared" si="1"/>
        <v>5</v>
      </c>
      <c r="Z9" s="106">
        <f t="shared" si="2"/>
        <v>2014</v>
      </c>
    </row>
    <row r="10" spans="2:26" ht="12">
      <c r="B10" s="102" t="s">
        <v>114</v>
      </c>
      <c r="C10" s="103"/>
      <c r="D10" s="104"/>
      <c r="E10" s="103"/>
      <c r="F10" s="103"/>
      <c r="G10" s="103"/>
      <c r="H10" s="105"/>
      <c r="R10" s="106" t="s">
        <v>29</v>
      </c>
      <c r="V10" s="112">
        <v>0.94</v>
      </c>
      <c r="X10" s="106">
        <f t="shared" si="0"/>
        <v>6</v>
      </c>
      <c r="Y10" s="106">
        <f t="shared" si="1"/>
        <v>6</v>
      </c>
      <c r="Z10" s="106">
        <f t="shared" si="2"/>
        <v>2015</v>
      </c>
    </row>
    <row r="11" spans="2:26" ht="12">
      <c r="B11" s="107"/>
      <c r="C11" s="108"/>
      <c r="D11" s="109"/>
      <c r="E11" s="108"/>
      <c r="F11" s="108"/>
      <c r="G11" s="108"/>
      <c r="H11" s="110"/>
      <c r="R11" s="106" t="s">
        <v>30</v>
      </c>
      <c r="V11" s="112">
        <v>0.93</v>
      </c>
      <c r="X11" s="106">
        <f t="shared" si="0"/>
        <v>7</v>
      </c>
      <c r="Y11" s="106">
        <f t="shared" si="1"/>
        <v>7</v>
      </c>
      <c r="Z11" s="106">
        <f t="shared" si="2"/>
        <v>2016</v>
      </c>
    </row>
    <row r="12" spans="2:26" ht="12">
      <c r="B12" s="107" t="s">
        <v>33</v>
      </c>
      <c r="C12" s="108"/>
      <c r="D12" s="135" t="s">
        <v>183</v>
      </c>
      <c r="E12" s="108"/>
      <c r="F12" s="108"/>
      <c r="G12" s="108"/>
      <c r="H12" s="110"/>
      <c r="V12" s="112">
        <v>0.92</v>
      </c>
      <c r="X12" s="106">
        <f t="shared" si="0"/>
        <v>8</v>
      </c>
      <c r="Y12" s="106">
        <f t="shared" si="1"/>
        <v>8</v>
      </c>
      <c r="Z12" s="106">
        <f t="shared" si="2"/>
        <v>2017</v>
      </c>
    </row>
    <row r="13" spans="2:26" ht="12">
      <c r="B13" s="107"/>
      <c r="C13" s="108"/>
      <c r="D13" s="109"/>
      <c r="E13" s="108"/>
      <c r="F13" s="108"/>
      <c r="G13" s="108"/>
      <c r="H13" s="110"/>
      <c r="R13" s="111" t="s">
        <v>32</v>
      </c>
      <c r="V13" s="112">
        <v>0.91</v>
      </c>
      <c r="X13" s="106">
        <f t="shared" si="0"/>
        <v>9</v>
      </c>
      <c r="Y13" s="106">
        <f t="shared" si="1"/>
        <v>9</v>
      </c>
      <c r="Z13" s="106">
        <f t="shared" si="2"/>
        <v>2018</v>
      </c>
    </row>
    <row r="14" spans="2:26" ht="12">
      <c r="B14" s="107" t="s">
        <v>34</v>
      </c>
      <c r="C14" s="108"/>
      <c r="D14" s="95" t="s">
        <v>177</v>
      </c>
      <c r="E14" s="108"/>
      <c r="F14" s="108"/>
      <c r="G14" s="108"/>
      <c r="H14" s="110"/>
      <c r="R14" s="106" t="s">
        <v>75</v>
      </c>
      <c r="V14" s="112">
        <v>0.9</v>
      </c>
      <c r="X14" s="106">
        <f t="shared" si="0"/>
        <v>10</v>
      </c>
      <c r="Y14" s="106">
        <f t="shared" si="1"/>
        <v>10</v>
      </c>
      <c r="Z14" s="106">
        <f t="shared" si="2"/>
        <v>2019</v>
      </c>
    </row>
    <row r="15" spans="2:26" ht="12">
      <c r="B15" s="107"/>
      <c r="C15" s="108"/>
      <c r="D15" s="109"/>
      <c r="E15" s="108"/>
      <c r="F15" s="108"/>
      <c r="G15" s="108"/>
      <c r="H15" s="110"/>
      <c r="R15" s="106" t="s">
        <v>150</v>
      </c>
      <c r="V15" s="112">
        <v>0.89</v>
      </c>
      <c r="X15" s="106">
        <f t="shared" si="0"/>
        <v>11</v>
      </c>
      <c r="Y15" s="106">
        <f t="shared" si="1"/>
        <v>11</v>
      </c>
      <c r="Z15" s="106">
        <f t="shared" si="2"/>
        <v>2020</v>
      </c>
    </row>
    <row r="16" spans="2:26" ht="12">
      <c r="B16" s="107" t="s">
        <v>35</v>
      </c>
      <c r="C16" s="108"/>
      <c r="D16" s="96">
        <v>25569</v>
      </c>
      <c r="E16" s="108"/>
      <c r="F16" s="108"/>
      <c r="G16" s="108"/>
      <c r="H16" s="110"/>
      <c r="R16" s="111" t="s">
        <v>36</v>
      </c>
      <c r="V16" s="112">
        <v>0.88</v>
      </c>
      <c r="X16" s="106">
        <f t="shared" si="0"/>
        <v>12</v>
      </c>
      <c r="Y16" s="106">
        <f t="shared" si="1"/>
        <v>12</v>
      </c>
      <c r="Z16" s="106">
        <f t="shared" si="2"/>
        <v>2021</v>
      </c>
    </row>
    <row r="17" spans="2:26" ht="12">
      <c r="B17" s="113"/>
      <c r="C17" s="114"/>
      <c r="D17" s="132"/>
      <c r="E17" s="114"/>
      <c r="F17" s="114"/>
      <c r="G17" s="114"/>
      <c r="H17" s="115"/>
      <c r="R17" s="106" t="s">
        <v>37</v>
      </c>
      <c r="V17" s="112">
        <v>0.87</v>
      </c>
      <c r="X17" s="106">
        <f t="shared" si="0"/>
        <v>13</v>
      </c>
      <c r="Z17" s="106">
        <f t="shared" si="2"/>
        <v>2022</v>
      </c>
    </row>
    <row r="18" spans="22:26" ht="12">
      <c r="V18" s="112">
        <v>0.85</v>
      </c>
      <c r="X18" s="106">
        <f t="shared" si="0"/>
        <v>14</v>
      </c>
      <c r="Z18" s="106">
        <f t="shared" si="2"/>
        <v>2023</v>
      </c>
    </row>
    <row r="19" spans="2:26" ht="12">
      <c r="B19" s="102" t="s">
        <v>111</v>
      </c>
      <c r="C19" s="103"/>
      <c r="D19" s="104"/>
      <c r="E19" s="103"/>
      <c r="F19" s="103"/>
      <c r="G19" s="103"/>
      <c r="H19" s="105"/>
      <c r="V19" s="112">
        <v>0.84</v>
      </c>
      <c r="X19" s="106">
        <f t="shared" si="0"/>
        <v>15</v>
      </c>
      <c r="Z19" s="106">
        <f t="shared" si="2"/>
        <v>2024</v>
      </c>
    </row>
    <row r="20" spans="2:26" s="122" customFormat="1" ht="12">
      <c r="B20" s="118"/>
      <c r="C20" s="119"/>
      <c r="D20" s="120"/>
      <c r="E20" s="119"/>
      <c r="F20" s="119"/>
      <c r="G20" s="119"/>
      <c r="H20" s="121"/>
      <c r="V20" s="112">
        <v>0.83</v>
      </c>
      <c r="W20" s="106"/>
      <c r="X20" s="106">
        <f t="shared" si="0"/>
        <v>16</v>
      </c>
      <c r="Y20" s="106"/>
      <c r="Z20" s="106">
        <f t="shared" si="2"/>
        <v>2025</v>
      </c>
    </row>
    <row r="21" spans="2:26" ht="12">
      <c r="B21" s="107" t="s">
        <v>38</v>
      </c>
      <c r="C21" s="108"/>
      <c r="D21" s="95">
        <v>0</v>
      </c>
      <c r="E21" s="123" t="s">
        <v>152</v>
      </c>
      <c r="F21" s="97">
        <v>0</v>
      </c>
      <c r="G21" s="108" t="s">
        <v>153</v>
      </c>
      <c r="H21" s="110"/>
      <c r="R21" s="111" t="s">
        <v>62</v>
      </c>
      <c r="V21" s="112">
        <v>0.82</v>
      </c>
      <c r="X21" s="106">
        <f t="shared" si="0"/>
        <v>17</v>
      </c>
      <c r="Z21" s="106">
        <f t="shared" si="2"/>
        <v>2026</v>
      </c>
    </row>
    <row r="22" spans="2:26" ht="12.75" customHeight="1">
      <c r="B22" s="107"/>
      <c r="C22" s="108"/>
      <c r="D22" s="109"/>
      <c r="E22" s="108"/>
      <c r="F22" s="108"/>
      <c r="G22" s="108"/>
      <c r="H22" s="110"/>
      <c r="I22" s="124">
        <f>'Member Calcs'!$P$29</f>
      </c>
      <c r="R22" s="106" t="s">
        <v>63</v>
      </c>
      <c r="V22" s="112">
        <v>0.81</v>
      </c>
      <c r="X22" s="106">
        <f t="shared" si="0"/>
        <v>18</v>
      </c>
      <c r="Z22" s="106">
        <f t="shared" si="2"/>
        <v>2027</v>
      </c>
    </row>
    <row r="23" spans="2:26" ht="12">
      <c r="B23" s="107" t="s">
        <v>39</v>
      </c>
      <c r="C23" s="108"/>
      <c r="D23" s="95">
        <v>0</v>
      </c>
      <c r="E23" s="123" t="s">
        <v>152</v>
      </c>
      <c r="F23" s="97">
        <v>0</v>
      </c>
      <c r="G23" s="108" t="s">
        <v>153</v>
      </c>
      <c r="H23" s="110"/>
      <c r="I23" s="124">
        <f>'Member Calcs'!$P$30</f>
      </c>
      <c r="R23" s="106" t="s">
        <v>64</v>
      </c>
      <c r="V23" s="112">
        <v>0.8</v>
      </c>
      <c r="X23" s="106">
        <f t="shared" si="0"/>
        <v>19</v>
      </c>
      <c r="Z23" s="106">
        <f t="shared" si="2"/>
        <v>2028</v>
      </c>
    </row>
    <row r="24" spans="2:26" ht="12">
      <c r="B24" s="107"/>
      <c r="C24" s="108"/>
      <c r="D24" s="109"/>
      <c r="E24" s="108"/>
      <c r="F24" s="108"/>
      <c r="G24" s="108"/>
      <c r="H24" s="110"/>
      <c r="R24" s="106" t="s">
        <v>65</v>
      </c>
      <c r="V24" s="112">
        <v>0.79</v>
      </c>
      <c r="X24" s="106">
        <f t="shared" si="0"/>
        <v>20</v>
      </c>
      <c r="Z24" s="106">
        <f t="shared" si="2"/>
        <v>2029</v>
      </c>
    </row>
    <row r="25" spans="2:26" ht="12">
      <c r="B25" s="107" t="s">
        <v>138</v>
      </c>
      <c r="C25" s="108"/>
      <c r="D25" s="98">
        <v>0</v>
      </c>
      <c r="E25" s="108"/>
      <c r="F25" s="108"/>
      <c r="G25" s="108"/>
      <c r="H25" s="110"/>
      <c r="R25" s="106" t="s">
        <v>116</v>
      </c>
      <c r="V25" s="112">
        <v>0.78</v>
      </c>
      <c r="X25" s="106">
        <f t="shared" si="0"/>
        <v>21</v>
      </c>
      <c r="Z25" s="106">
        <f t="shared" si="2"/>
        <v>2030</v>
      </c>
    </row>
    <row r="26" spans="2:26" ht="12">
      <c r="B26" s="107"/>
      <c r="C26" s="108"/>
      <c r="D26" s="109"/>
      <c r="E26" s="108"/>
      <c r="F26" s="108"/>
      <c r="G26" s="108"/>
      <c r="H26" s="110"/>
      <c r="V26" s="112">
        <v>0.77</v>
      </c>
      <c r="X26" s="106">
        <f t="shared" si="0"/>
        <v>22</v>
      </c>
      <c r="Z26" s="106">
        <f t="shared" si="2"/>
        <v>2031</v>
      </c>
    </row>
    <row r="27" spans="2:26" ht="12">
      <c r="B27" s="113" t="s">
        <v>53</v>
      </c>
      <c r="C27" s="114"/>
      <c r="D27" s="99">
        <v>1</v>
      </c>
      <c r="E27" s="114"/>
      <c r="F27" s="114"/>
      <c r="G27" s="114"/>
      <c r="H27" s="115"/>
      <c r="R27" s="125" t="s">
        <v>73</v>
      </c>
      <c r="V27" s="112">
        <v>0.76</v>
      </c>
      <c r="X27" s="106">
        <f t="shared" si="0"/>
        <v>23</v>
      </c>
      <c r="Z27" s="106">
        <f t="shared" si="2"/>
        <v>2032</v>
      </c>
    </row>
    <row r="28" spans="18:26" ht="12">
      <c r="R28" s="111" t="s">
        <v>74</v>
      </c>
      <c r="T28" s="106" t="str">
        <f>IF($D$8=$R$15,"NRA_NON_NE","NRA_NE")</f>
        <v>NRA_NE</v>
      </c>
      <c r="V28" s="112">
        <v>0.75</v>
      </c>
      <c r="X28" s="106">
        <f t="shared" si="0"/>
        <v>24</v>
      </c>
      <c r="Z28" s="106">
        <f t="shared" si="2"/>
        <v>2033</v>
      </c>
    </row>
    <row r="29" spans="2:26" ht="12">
      <c r="B29" s="102" t="s">
        <v>112</v>
      </c>
      <c r="C29" s="103"/>
      <c r="D29" s="104"/>
      <c r="E29" s="103"/>
      <c r="F29" s="103"/>
      <c r="G29" s="103"/>
      <c r="H29" s="105"/>
      <c r="R29" s="106" t="s">
        <v>67</v>
      </c>
      <c r="T29" s="106">
        <v>60</v>
      </c>
      <c r="V29" s="112">
        <v>0.74</v>
      </c>
      <c r="X29" s="106">
        <f t="shared" si="0"/>
        <v>25</v>
      </c>
      <c r="Z29" s="106">
        <f t="shared" si="2"/>
        <v>2034</v>
      </c>
    </row>
    <row r="30" spans="2:26" ht="12">
      <c r="B30" s="107"/>
      <c r="C30" s="108"/>
      <c r="D30" s="109"/>
      <c r="E30" s="108"/>
      <c r="F30" s="108"/>
      <c r="G30" s="108"/>
      <c r="H30" s="110"/>
      <c r="R30" s="106" t="s">
        <v>68</v>
      </c>
      <c r="T30" s="106">
        <v>61</v>
      </c>
      <c r="V30" s="112">
        <v>0.73</v>
      </c>
      <c r="X30" s="106">
        <f t="shared" si="0"/>
        <v>26</v>
      </c>
      <c r="Z30" s="106">
        <f t="shared" si="2"/>
        <v>2035</v>
      </c>
    </row>
    <row r="31" spans="2:26" ht="12">
      <c r="B31" s="107" t="s">
        <v>156</v>
      </c>
      <c r="C31" s="108"/>
      <c r="D31" s="95" t="s">
        <v>63</v>
      </c>
      <c r="E31" s="108"/>
      <c r="F31" s="108"/>
      <c r="G31" s="108"/>
      <c r="H31" s="110"/>
      <c r="R31" s="106" t="s">
        <v>69</v>
      </c>
      <c r="T31" s="106">
        <v>62</v>
      </c>
      <c r="V31" s="112">
        <v>0.72</v>
      </c>
      <c r="X31" s="106">
        <f t="shared" si="0"/>
        <v>27</v>
      </c>
      <c r="Z31" s="106">
        <f t="shared" si="2"/>
        <v>2036</v>
      </c>
    </row>
    <row r="32" spans="2:26" ht="12">
      <c r="B32" s="107"/>
      <c r="C32" s="108"/>
      <c r="D32" s="109"/>
      <c r="E32" s="108"/>
      <c r="F32" s="108"/>
      <c r="G32" s="108"/>
      <c r="H32" s="110"/>
      <c r="R32" s="106" t="s">
        <v>70</v>
      </c>
      <c r="T32" s="106">
        <v>63</v>
      </c>
      <c r="V32" s="112">
        <v>0.71</v>
      </c>
      <c r="X32" s="106">
        <f t="shared" si="0"/>
        <v>28</v>
      </c>
      <c r="Z32" s="106">
        <f t="shared" si="2"/>
        <v>2037</v>
      </c>
    </row>
    <row r="33" spans="2:26" ht="12">
      <c r="B33" s="107" t="s">
        <v>172</v>
      </c>
      <c r="C33" s="108"/>
      <c r="D33" s="95" t="s">
        <v>2</v>
      </c>
      <c r="E33" s="133"/>
      <c r="F33" s="133">
        <f>IF($D$31=$R$25,"",IF($D$31=$R$23,IF(D33="Date","","Please select a date"),""))</f>
      </c>
      <c r="G33" s="108"/>
      <c r="H33" s="110"/>
      <c r="R33" s="106" t="s">
        <v>71</v>
      </c>
      <c r="T33" s="106">
        <v>64</v>
      </c>
      <c r="V33" s="112">
        <v>0.7</v>
      </c>
      <c r="X33" s="106">
        <f t="shared" si="0"/>
        <v>29</v>
      </c>
      <c r="Z33" s="106">
        <f t="shared" si="2"/>
        <v>2038</v>
      </c>
    </row>
    <row r="34" spans="2:26" ht="12">
      <c r="B34" s="107"/>
      <c r="C34" s="108"/>
      <c r="D34" s="109"/>
      <c r="E34" s="108"/>
      <c r="F34" s="108"/>
      <c r="G34" s="108"/>
      <c r="H34" s="110"/>
      <c r="R34" s="106" t="s">
        <v>72</v>
      </c>
      <c r="T34" s="106">
        <v>65</v>
      </c>
      <c r="V34" s="112">
        <v>0.69</v>
      </c>
      <c r="X34" s="106">
        <f t="shared" si="0"/>
        <v>30</v>
      </c>
      <c r="Z34" s="106">
        <f t="shared" si="2"/>
        <v>2039</v>
      </c>
    </row>
    <row r="35" spans="2:26" ht="12">
      <c r="B35" s="113" t="str">
        <f>IF($D$31=$R$23,IF(D33="Age","Age at Exit","Date at Exit"),IF($D$31=$R$25,"Date of Calculation",IF(D33="Age","Retirement Age","Retirement Date")))</f>
        <v>Retirement Age</v>
      </c>
      <c r="C35" s="126">
        <f>IF(D33="Age","","Day")</f>
      </c>
      <c r="D35" s="100" t="s">
        <v>189</v>
      </c>
      <c r="E35" s="114">
        <f>IF(D33="Age","","Month")</f>
      </c>
      <c r="F35" s="100"/>
      <c r="G35" s="114">
        <f>IF(D33="Age","","Year")</f>
      </c>
      <c r="H35" s="101"/>
      <c r="R35" s="136" t="s">
        <v>189</v>
      </c>
      <c r="T35" s="137">
        <f>(DATEDIF('Member Calcs'!$E$9,'Member Calcs'!$H$3,"d")/365.25)</f>
        <v>65.74</v>
      </c>
      <c r="V35" s="112">
        <v>0.68</v>
      </c>
      <c r="X35" s="106">
        <f t="shared" si="0"/>
        <v>31</v>
      </c>
      <c r="Z35" s="106">
        <f t="shared" si="2"/>
        <v>2040</v>
      </c>
    </row>
    <row r="36" spans="22:26" ht="12">
      <c r="V36" s="112">
        <v>0.67</v>
      </c>
      <c r="Z36" s="106">
        <f t="shared" si="2"/>
        <v>2041</v>
      </c>
    </row>
    <row r="37" spans="2:26" ht="12">
      <c r="B37" s="124">
        <f>IF(ISERROR(IF(OR('Member Calcs'!$I$13=1,'Member Calcs'!$I$14=1),"Note : The Retirement Date selected is below the minimum retirement date allowed for this Statement","")),"",IF(OR('Member Calcs'!$I$13=1,'Member Calcs'!$I$14=1),"Note : The Retirement Date selected is below the minimum retirement date allowed for this Statement",""))</f>
      </c>
      <c r="F37" s="124">
        <f>IF(ISERROR(IF('Member Calcs'!$AA$14&lt;2,"To qualify for a pension you must have a minimum of 2 years service","")),"",IF('Member Calcs'!$AA$14&lt;2,"To qualify for a pension you must have a minimum of 2 years service",""))</f>
      </c>
      <c r="G37" s="124"/>
      <c r="R37" s="111" t="s">
        <v>75</v>
      </c>
      <c r="V37" s="112">
        <v>0.66</v>
      </c>
      <c r="Z37" s="106">
        <f t="shared" si="2"/>
        <v>2042</v>
      </c>
    </row>
    <row r="38" spans="2:26" ht="12">
      <c r="B38" s="124">
        <f>IF(ISERROR(IF('Member Calcs'!$M$13=2,"Note : Your chosen Date of Exit is above the maximum date allowed for this Statement","")),"",(IF('Member Calcs'!$M$13=2,"Note : Your chosen Date of Exit is above the maximum date allowed for this Statement","")))</f>
      </c>
      <c r="F38" s="124">
        <f>IF(ISERROR(IF('Member Calcs'!$F$9&gt;'Member Calcs'!$G$9,"The retirement age selected is below your current age","")),"",IF('Member Calcs'!$F$9&gt;'Member Calcs'!$G$9,"The retirement age selected is below your current age",""))</f>
      </c>
      <c r="R38" s="136" t="s">
        <v>189</v>
      </c>
      <c r="T38" s="137">
        <f>(DATEDIF('Member Calcs'!$E$9,'Member Calcs'!$H$3,"d")/365.25)</f>
        <v>65.74</v>
      </c>
      <c r="V38" s="112">
        <v>0.65</v>
      </c>
      <c r="Z38" s="106">
        <f t="shared" si="2"/>
        <v>2043</v>
      </c>
    </row>
    <row r="39" spans="2:26" ht="12">
      <c r="B39" s="124">
        <f>IF(ISERROR(IF('Member Calcs'!$Q$13=2,"Note : Your chosen Actuarial Retirement Date is above the maximum date allowed for this Statement","")),"",IF('Member Calcs'!$Q$13=2,"Note : Your chosen Actuarial Retirement Date is above the maximum date allowed for this Statement",""))</f>
      </c>
      <c r="R39" s="106" t="s">
        <v>72</v>
      </c>
      <c r="T39" s="106">
        <v>65</v>
      </c>
      <c r="V39" s="112">
        <v>0.64</v>
      </c>
      <c r="Z39" s="106">
        <f t="shared" si="2"/>
        <v>2044</v>
      </c>
    </row>
    <row r="40" spans="18:26" ht="12">
      <c r="R40" s="106" t="s">
        <v>105</v>
      </c>
      <c r="V40" s="112">
        <v>0.63</v>
      </c>
      <c r="Z40" s="106">
        <f t="shared" si="2"/>
        <v>2045</v>
      </c>
    </row>
    <row r="41" spans="18:26" ht="12">
      <c r="R41" s="106" t="s">
        <v>106</v>
      </c>
      <c r="V41" s="112">
        <v>0.62</v>
      </c>
      <c r="Z41" s="106">
        <f t="shared" si="2"/>
        <v>2046</v>
      </c>
    </row>
    <row r="42" spans="18:26" ht="12">
      <c r="R42" s="106" t="s">
        <v>107</v>
      </c>
      <c r="V42" s="112">
        <v>0.61</v>
      </c>
      <c r="Z42" s="106">
        <f t="shared" si="2"/>
        <v>2047</v>
      </c>
    </row>
    <row r="43" spans="18:26" ht="12">
      <c r="R43" s="106" t="s">
        <v>108</v>
      </c>
      <c r="V43" s="112">
        <v>0.6</v>
      </c>
      <c r="Z43" s="106">
        <f t="shared" si="2"/>
        <v>2048</v>
      </c>
    </row>
    <row r="44" spans="18:26" ht="12">
      <c r="R44" s="106" t="s">
        <v>109</v>
      </c>
      <c r="V44" s="112">
        <v>0.59</v>
      </c>
      <c r="Z44" s="106">
        <f t="shared" si="2"/>
        <v>2049</v>
      </c>
    </row>
    <row r="45" spans="22:26" ht="12">
      <c r="V45" s="112">
        <v>0.58</v>
      </c>
      <c r="Z45" s="106">
        <f t="shared" si="2"/>
        <v>2050</v>
      </c>
    </row>
    <row r="46" spans="18:26" ht="12">
      <c r="R46" s="111" t="s">
        <v>178</v>
      </c>
      <c r="V46" s="112">
        <v>0.57</v>
      </c>
      <c r="Z46" s="106">
        <f t="shared" si="2"/>
        <v>2051</v>
      </c>
    </row>
    <row r="47" spans="18:26" ht="12">
      <c r="R47" s="106" t="s">
        <v>72</v>
      </c>
      <c r="V47" s="112">
        <v>0.56</v>
      </c>
      <c r="Z47" s="106">
        <f t="shared" si="2"/>
        <v>2052</v>
      </c>
    </row>
    <row r="48" spans="18:26" ht="12">
      <c r="R48" s="106" t="s">
        <v>189</v>
      </c>
      <c r="V48" s="112">
        <v>0.55</v>
      </c>
      <c r="Z48" s="106">
        <f t="shared" si="2"/>
        <v>2053</v>
      </c>
    </row>
    <row r="49" spans="22:26" ht="12">
      <c r="V49" s="112">
        <v>0.54</v>
      </c>
      <c r="Z49" s="106">
        <f t="shared" si="2"/>
        <v>2054</v>
      </c>
    </row>
    <row r="50" spans="18:26" ht="12">
      <c r="R50" s="111" t="s">
        <v>76</v>
      </c>
      <c r="T50" s="111" t="s">
        <v>110</v>
      </c>
      <c r="V50" s="112">
        <v>0.53</v>
      </c>
      <c r="Z50" s="106">
        <f t="shared" si="2"/>
        <v>2055</v>
      </c>
    </row>
    <row r="51" spans="18:26" ht="12">
      <c r="R51" s="106" t="s">
        <v>2</v>
      </c>
      <c r="T51" s="106" t="s">
        <v>77</v>
      </c>
      <c r="V51" s="112">
        <v>0.52</v>
      </c>
      <c r="Z51" s="106">
        <f t="shared" si="2"/>
        <v>2056</v>
      </c>
    </row>
    <row r="52" spans="18:26" ht="12">
      <c r="R52" s="106" t="s">
        <v>77</v>
      </c>
      <c r="V52" s="112">
        <v>0.51</v>
      </c>
      <c r="Z52" s="106">
        <f t="shared" si="2"/>
        <v>2057</v>
      </c>
    </row>
    <row r="53" spans="22:26" ht="12">
      <c r="V53" s="112">
        <v>0.5</v>
      </c>
      <c r="Z53" s="106">
        <f t="shared" si="2"/>
        <v>2058</v>
      </c>
    </row>
    <row r="54" spans="18:26" ht="12">
      <c r="R54" s="124" t="s">
        <v>169</v>
      </c>
      <c r="V54" s="112">
        <v>0.49</v>
      </c>
      <c r="Z54" s="106">
        <f t="shared" si="2"/>
        <v>2059</v>
      </c>
    </row>
    <row r="55" spans="18:26" ht="12">
      <c r="R55" s="111" t="s">
        <v>74</v>
      </c>
      <c r="V55" s="112">
        <v>0.48</v>
      </c>
      <c r="Z55" s="106">
        <f t="shared" si="2"/>
        <v>2060</v>
      </c>
    </row>
    <row r="56" spans="18:26" ht="12">
      <c r="R56" s="106" t="s">
        <v>93</v>
      </c>
      <c r="T56" s="106">
        <v>50</v>
      </c>
      <c r="V56" s="112">
        <v>0.47</v>
      </c>
      <c r="Z56" s="106">
        <f t="shared" si="2"/>
        <v>2061</v>
      </c>
    </row>
    <row r="57" spans="18:26" ht="12">
      <c r="R57" s="106" t="s">
        <v>94</v>
      </c>
      <c r="T57" s="106">
        <v>51</v>
      </c>
      <c r="V57" s="112">
        <v>0.46</v>
      </c>
      <c r="Z57" s="106">
        <f t="shared" si="2"/>
        <v>2062</v>
      </c>
    </row>
    <row r="58" spans="18:26" ht="12">
      <c r="R58" s="106" t="s">
        <v>95</v>
      </c>
      <c r="T58" s="106">
        <v>52</v>
      </c>
      <c r="V58" s="112">
        <v>0.45</v>
      </c>
      <c r="Z58" s="106">
        <f t="shared" si="2"/>
        <v>2063</v>
      </c>
    </row>
    <row r="59" spans="18:26" ht="12">
      <c r="R59" s="106" t="s">
        <v>96</v>
      </c>
      <c r="T59" s="106">
        <v>53</v>
      </c>
      <c r="V59" s="112">
        <v>0.44</v>
      </c>
      <c r="Z59" s="106">
        <f t="shared" si="2"/>
        <v>2064</v>
      </c>
    </row>
    <row r="60" spans="18:26" ht="12">
      <c r="R60" s="106" t="s">
        <v>97</v>
      </c>
      <c r="T60" s="106">
        <v>54</v>
      </c>
      <c r="V60" s="112">
        <v>0.43</v>
      </c>
      <c r="Z60" s="106">
        <f t="shared" si="2"/>
        <v>2065</v>
      </c>
    </row>
    <row r="61" spans="18:26" ht="12">
      <c r="R61" s="106" t="s">
        <v>98</v>
      </c>
      <c r="T61" s="106">
        <v>55</v>
      </c>
      <c r="V61" s="112">
        <v>0.42</v>
      </c>
      <c r="Z61" s="106">
        <f t="shared" si="2"/>
        <v>2066</v>
      </c>
    </row>
    <row r="62" spans="18:26" ht="12">
      <c r="R62" s="106" t="s">
        <v>99</v>
      </c>
      <c r="T62" s="106">
        <v>56</v>
      </c>
      <c r="V62" s="112">
        <v>0.41</v>
      </c>
      <c r="Z62" s="106">
        <f t="shared" si="2"/>
        <v>2067</v>
      </c>
    </row>
    <row r="63" spans="18:26" ht="12">
      <c r="R63" s="106" t="s">
        <v>100</v>
      </c>
      <c r="T63" s="106">
        <v>57</v>
      </c>
      <c r="V63" s="112">
        <v>0.4</v>
      </c>
      <c r="Z63" s="106">
        <f t="shared" si="2"/>
        <v>2068</v>
      </c>
    </row>
    <row r="64" spans="18:26" ht="12">
      <c r="R64" s="106" t="s">
        <v>101</v>
      </c>
      <c r="T64" s="106">
        <v>58</v>
      </c>
      <c r="V64" s="112">
        <v>0.39</v>
      </c>
      <c r="Z64" s="106">
        <f t="shared" si="2"/>
        <v>2069</v>
      </c>
    </row>
    <row r="65" spans="18:26" ht="12">
      <c r="R65" s="106" t="s">
        <v>102</v>
      </c>
      <c r="T65" s="106">
        <v>59</v>
      </c>
      <c r="V65" s="112">
        <v>0.38</v>
      </c>
      <c r="Z65" s="106">
        <f t="shared" si="2"/>
        <v>2070</v>
      </c>
    </row>
    <row r="66" spans="18:26" ht="12">
      <c r="R66" s="106" t="s">
        <v>67</v>
      </c>
      <c r="T66" s="106">
        <v>60</v>
      </c>
      <c r="V66" s="112">
        <v>0.37</v>
      </c>
      <c r="Z66" s="106">
        <f t="shared" si="2"/>
        <v>2071</v>
      </c>
    </row>
    <row r="67" spans="22:26" ht="12">
      <c r="V67" s="112">
        <v>0.36</v>
      </c>
      <c r="Z67" s="106">
        <f t="shared" si="2"/>
        <v>2072</v>
      </c>
    </row>
    <row r="68" spans="18:26" ht="12">
      <c r="R68" s="111" t="s">
        <v>75</v>
      </c>
      <c r="V68" s="112">
        <v>0.35</v>
      </c>
      <c r="Z68" s="106">
        <f t="shared" si="2"/>
        <v>2073</v>
      </c>
    </row>
    <row r="69" spans="18:26" ht="12">
      <c r="R69" s="106" t="s">
        <v>98</v>
      </c>
      <c r="V69" s="112">
        <v>0.34</v>
      </c>
      <c r="Z69" s="106">
        <f t="shared" si="2"/>
        <v>2074</v>
      </c>
    </row>
    <row r="70" spans="18:26" ht="12">
      <c r="R70" s="106" t="s">
        <v>99</v>
      </c>
      <c r="V70" s="112">
        <v>0.33</v>
      </c>
      <c r="Z70" s="106">
        <f t="shared" si="2"/>
        <v>2075</v>
      </c>
    </row>
    <row r="71" spans="18:26" ht="12">
      <c r="R71" s="106" t="s">
        <v>100</v>
      </c>
      <c r="V71" s="112">
        <v>0.32</v>
      </c>
      <c r="Z71" s="106">
        <f aca="true" t="shared" si="3" ref="Z71:Z76">Z70+1</f>
        <v>2076</v>
      </c>
    </row>
    <row r="72" spans="18:26" ht="12">
      <c r="R72" s="106" t="s">
        <v>101</v>
      </c>
      <c r="V72" s="112">
        <v>0.31</v>
      </c>
      <c r="Z72" s="106">
        <f t="shared" si="3"/>
        <v>2077</v>
      </c>
    </row>
    <row r="73" spans="18:26" ht="12">
      <c r="R73" s="106" t="s">
        <v>102</v>
      </c>
      <c r="V73" s="112">
        <v>0.3</v>
      </c>
      <c r="Z73" s="106">
        <f t="shared" si="3"/>
        <v>2078</v>
      </c>
    </row>
    <row r="74" spans="18:26" ht="12">
      <c r="R74" s="106" t="s">
        <v>67</v>
      </c>
      <c r="V74" s="112">
        <v>0.29</v>
      </c>
      <c r="Z74" s="106">
        <f t="shared" si="3"/>
        <v>2079</v>
      </c>
    </row>
    <row r="75" spans="18:26" ht="12">
      <c r="R75" s="106" t="s">
        <v>68</v>
      </c>
      <c r="T75" s="106">
        <v>61</v>
      </c>
      <c r="V75" s="112">
        <v>0.28</v>
      </c>
      <c r="Z75" s="106">
        <f t="shared" si="3"/>
        <v>2080</v>
      </c>
    </row>
    <row r="76" spans="18:26" ht="12">
      <c r="R76" s="106" t="s">
        <v>69</v>
      </c>
      <c r="T76" s="106">
        <v>62</v>
      </c>
      <c r="V76" s="112">
        <v>0.27</v>
      </c>
      <c r="Z76" s="106">
        <f t="shared" si="3"/>
        <v>2081</v>
      </c>
    </row>
    <row r="77" spans="18:22" ht="12">
      <c r="R77" s="106" t="s">
        <v>70</v>
      </c>
      <c r="T77" s="106">
        <v>63</v>
      </c>
      <c r="V77" s="112">
        <v>0.26</v>
      </c>
    </row>
    <row r="78" spans="18:22" ht="12">
      <c r="R78" s="106" t="s">
        <v>71</v>
      </c>
      <c r="T78" s="106">
        <v>64</v>
      </c>
      <c r="V78" s="112">
        <v>0.25</v>
      </c>
    </row>
    <row r="79" spans="18:22" ht="12">
      <c r="R79" s="106" t="s">
        <v>72</v>
      </c>
      <c r="T79" s="106">
        <v>65</v>
      </c>
      <c r="V79" s="112">
        <v>0.24</v>
      </c>
    </row>
    <row r="80" spans="18:22" ht="12">
      <c r="R80" s="136" t="s">
        <v>189</v>
      </c>
      <c r="T80" s="137">
        <f>(DATEDIF('Member Calcs'!$E$9,'Member Calcs'!$H$3,"d")/365.25)</f>
        <v>65.74</v>
      </c>
      <c r="V80" s="112">
        <v>0.23</v>
      </c>
    </row>
    <row r="81" spans="18:22" ht="12">
      <c r="R81" s="106" t="s">
        <v>105</v>
      </c>
      <c r="T81" s="106">
        <v>66</v>
      </c>
      <c r="V81" s="112">
        <v>0.22</v>
      </c>
    </row>
    <row r="82" spans="18:22" ht="12">
      <c r="R82" s="106" t="s">
        <v>106</v>
      </c>
      <c r="T82" s="106">
        <v>67</v>
      </c>
      <c r="V82" s="112">
        <v>0.21</v>
      </c>
    </row>
    <row r="83" spans="18:22" ht="12">
      <c r="R83" s="106" t="s">
        <v>107</v>
      </c>
      <c r="T83" s="106">
        <v>68</v>
      </c>
      <c r="V83" s="112">
        <v>0.2</v>
      </c>
    </row>
    <row r="84" spans="18:22" ht="12">
      <c r="R84" s="106" t="s">
        <v>108</v>
      </c>
      <c r="T84" s="106">
        <v>69</v>
      </c>
      <c r="V84" s="112">
        <v>0.19</v>
      </c>
    </row>
    <row r="85" spans="18:22" ht="12">
      <c r="R85" s="106" t="s">
        <v>109</v>
      </c>
      <c r="T85" s="106">
        <v>70</v>
      </c>
      <c r="V85" s="112">
        <v>0.18</v>
      </c>
    </row>
    <row r="86" ht="12">
      <c r="V86" s="112">
        <v>0.17</v>
      </c>
    </row>
    <row r="87" spans="18:22" ht="12">
      <c r="R87" s="111"/>
      <c r="V87" s="112">
        <v>0.16</v>
      </c>
    </row>
    <row r="88" spans="20:22" ht="12">
      <c r="T88" s="140" t="s">
        <v>199</v>
      </c>
      <c r="V88" s="112">
        <v>0.15</v>
      </c>
    </row>
    <row r="89" spans="18:22" ht="12">
      <c r="R89" s="141">
        <f>DAY('Member Calcs'!E1)</f>
        <v>10</v>
      </c>
      <c r="S89" s="141">
        <f>MONTH('Member Calcs'!E1)</f>
        <v>7</v>
      </c>
      <c r="T89" s="141">
        <f>YEAR('Member Calcs'!E1)</f>
        <v>2023</v>
      </c>
      <c r="V89" s="112">
        <v>0.14</v>
      </c>
    </row>
    <row r="90" ht="12">
      <c r="V90" s="112">
        <v>0.13</v>
      </c>
    </row>
    <row r="91" ht="12">
      <c r="V91" s="112">
        <v>0.12</v>
      </c>
    </row>
    <row r="92" ht="12">
      <c r="V92" s="112">
        <v>0.11</v>
      </c>
    </row>
    <row r="93" ht="12">
      <c r="V93" s="112">
        <v>0.1</v>
      </c>
    </row>
    <row r="94" ht="12">
      <c r="V94" s="112">
        <v>0.09</v>
      </c>
    </row>
    <row r="95" ht="12">
      <c r="V95" s="112">
        <v>0.08</v>
      </c>
    </row>
    <row r="96" ht="12">
      <c r="V96" s="112">
        <v>0.07</v>
      </c>
    </row>
    <row r="97" ht="12">
      <c r="V97" s="112">
        <v>0.06</v>
      </c>
    </row>
    <row r="98" ht="12">
      <c r="V98" s="112">
        <v>0.05</v>
      </c>
    </row>
    <row r="99" ht="12">
      <c r="V99" s="112">
        <v>0.04</v>
      </c>
    </row>
    <row r="100" ht="12">
      <c r="V100" s="112">
        <v>0.03</v>
      </c>
    </row>
    <row r="101" ht="12">
      <c r="V101" s="112">
        <v>0.02</v>
      </c>
    </row>
    <row r="102" ht="12">
      <c r="V102" s="112">
        <v>0.01</v>
      </c>
    </row>
    <row r="103" ht="12">
      <c r="V103" s="112">
        <v>0</v>
      </c>
    </row>
    <row r="104" ht="12">
      <c r="V104" s="112"/>
    </row>
    <row r="105" ht="12">
      <c r="V105" s="112"/>
    </row>
    <row r="106" ht="12">
      <c r="V106" s="112"/>
    </row>
    <row r="107" ht="12">
      <c r="V107" s="112"/>
    </row>
    <row r="108" ht="12">
      <c r="V108" s="112"/>
    </row>
    <row r="109" ht="12">
      <c r="V109" s="112"/>
    </row>
    <row r="110" ht="12">
      <c r="V110" s="112"/>
    </row>
    <row r="111" ht="12">
      <c r="V111" s="112"/>
    </row>
    <row r="112" ht="12">
      <c r="V112" s="112"/>
    </row>
    <row r="113" ht="12">
      <c r="V113" s="112"/>
    </row>
    <row r="114" ht="12">
      <c r="V114" s="112"/>
    </row>
    <row r="115" ht="12">
      <c r="V115" s="112"/>
    </row>
    <row r="116" ht="12">
      <c r="V116" s="112"/>
    </row>
    <row r="117" ht="12">
      <c r="V117" s="112"/>
    </row>
    <row r="118" ht="12">
      <c r="V118" s="112"/>
    </row>
    <row r="119" ht="12">
      <c r="V119" s="112"/>
    </row>
    <row r="120" ht="12">
      <c r="V120" s="112"/>
    </row>
    <row r="121" ht="12">
      <c r="V121" s="112"/>
    </row>
    <row r="122" ht="12">
      <c r="V122" s="112"/>
    </row>
    <row r="123" ht="12">
      <c r="V123" s="112"/>
    </row>
    <row r="124" ht="12">
      <c r="V124" s="112"/>
    </row>
    <row r="125" ht="12">
      <c r="V125" s="112"/>
    </row>
    <row r="126" ht="12">
      <c r="V126" s="112"/>
    </row>
    <row r="127" ht="12">
      <c r="V127" s="112"/>
    </row>
    <row r="128" ht="12">
      <c r="V128" s="112"/>
    </row>
    <row r="129" ht="12">
      <c r="V129" s="112"/>
    </row>
    <row r="130" ht="12">
      <c r="V130" s="112"/>
    </row>
    <row r="131" ht="12">
      <c r="V131" s="112"/>
    </row>
    <row r="132" ht="12">
      <c r="V132" s="112"/>
    </row>
    <row r="133" ht="12">
      <c r="V133" s="112"/>
    </row>
    <row r="134" ht="12">
      <c r="V134" s="112"/>
    </row>
    <row r="135" ht="12">
      <c r="V135" s="112"/>
    </row>
    <row r="136" ht="12">
      <c r="V136" s="112"/>
    </row>
    <row r="137" ht="12">
      <c r="V137" s="112"/>
    </row>
    <row r="138" ht="12">
      <c r="V138" s="112"/>
    </row>
    <row r="139" ht="12">
      <c r="V139" s="112"/>
    </row>
    <row r="140" ht="12">
      <c r="V140" s="112"/>
    </row>
    <row r="141" ht="12">
      <c r="V141" s="112"/>
    </row>
    <row r="142" ht="12">
      <c r="V142" s="112"/>
    </row>
    <row r="143" ht="12">
      <c r="V143" s="112"/>
    </row>
    <row r="144" ht="12">
      <c r="V144" s="112"/>
    </row>
    <row r="145" ht="12">
      <c r="V145" s="112"/>
    </row>
    <row r="146" ht="12">
      <c r="V146" s="112"/>
    </row>
    <row r="147" ht="12">
      <c r="V147" s="112"/>
    </row>
    <row r="148" ht="12">
      <c r="V148" s="112"/>
    </row>
    <row r="149" ht="12">
      <c r="V149" s="112"/>
    </row>
    <row r="150" ht="12">
      <c r="V150" s="112"/>
    </row>
    <row r="151" ht="12">
      <c r="V151" s="112"/>
    </row>
    <row r="152" ht="12">
      <c r="V152" s="112"/>
    </row>
    <row r="153" ht="12">
      <c r="V153" s="112"/>
    </row>
    <row r="154" ht="12">
      <c r="V154" s="112"/>
    </row>
    <row r="155" ht="12">
      <c r="V155" s="112"/>
    </row>
  </sheetData>
  <sheetProtection sheet="1" objects="1" scenarios="1" selectLockedCells="1"/>
  <conditionalFormatting sqref="F35">
    <cfRule type="cellIs" priority="1" dxfId="0" operator="equal" stopIfTrue="1">
      <formula>"""Age"""</formula>
    </cfRule>
  </conditionalFormatting>
  <dataValidations count="10">
    <dataValidation type="list" allowBlank="1" showInputMessage="1" showErrorMessage="1" sqref="R26">
      <formula1>$R$17:$R$17</formula1>
    </dataValidation>
    <dataValidation type="list" allowBlank="1" showInputMessage="1" showErrorMessage="1" sqref="D27">
      <formula1>$V$4:$V$103</formula1>
    </dataValidation>
    <dataValidation type="list" allowBlank="1" showInputMessage="1" showErrorMessage="1" sqref="D31">
      <formula1>$R$22:$R$25</formula1>
    </dataValidation>
    <dataValidation type="list" allowBlank="1" showInputMessage="1" showErrorMessage="1" sqref="F35">
      <formula1>IF($D$31=$R$25,$S$89,IF($D$33="Date",$Y$5:$Y$16,$U$5:$U$9))</formula1>
    </dataValidation>
    <dataValidation type="list" allowBlank="1" showInputMessage="1" showErrorMessage="1" sqref="D4">
      <formula1>$R$5:$R$6</formula1>
    </dataValidation>
    <dataValidation type="list" allowBlank="1" showInputMessage="1" showErrorMessage="1" sqref="D6">
      <formula1>$R$10:$R$11</formula1>
    </dataValidation>
    <dataValidation type="list" allowBlank="1" showInputMessage="1" showErrorMessage="1" sqref="D8">
      <formula1>$R$14:$R$15</formula1>
    </dataValidation>
    <dataValidation type="list" allowBlank="1" showInputMessage="1" showErrorMessage="1" sqref="D33">
      <formula1>IF($D$31=$R$25,$T$88,IF($D$31=R$23,$T$51,$R$51:$R$52))</formula1>
    </dataValidation>
    <dataValidation type="list" allowBlank="1" showInputMessage="1" showErrorMessage="1" sqref="H35">
      <formula1>IF($D$31=$R$25,$T$89,IF($D$33="Date",$Z$5:$Z$70,$U$5))</formula1>
    </dataValidation>
    <dataValidation type="list" allowBlank="1" showInputMessage="1" showErrorMessage="1" sqref="D35">
      <formula1>IF($D$31=$R$25,$R$89,IF($D$33="Date",$X$5:$X$35,IF($D$31=$R$24,IF($D$8=$R$15,IF(D4="weekly paid",$R$69:$R$79,$R$56:$R$66),$R$69:$R$79),IF($D$8=$R$15,IF($D$4="weekly paid",$R$47:$R$48,$R$29:$R$35),$R$38:$R$44))))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C47"/>
  <sheetViews>
    <sheetView rightToLeft="1" zoomScalePageLayoutView="0" workbookViewId="0" topLeftCell="A1">
      <selection activeCell="E1" sqref="E1"/>
    </sheetView>
  </sheetViews>
  <sheetFormatPr defaultColWidth="8.28125" defaultRowHeight="12.75"/>
  <cols>
    <col min="1" max="1" width="17.28125" style="1" bestFit="1" customWidth="1"/>
    <col min="2" max="2" width="9.140625" style="1" customWidth="1"/>
    <col min="3" max="3" width="9.57421875" style="1" bestFit="1" customWidth="1"/>
    <col min="4" max="4" width="20.28125" style="1" bestFit="1" customWidth="1"/>
    <col min="5" max="5" width="10.421875" style="1" bestFit="1" customWidth="1"/>
    <col min="6" max="6" width="8.7109375" style="1" bestFit="1" customWidth="1"/>
    <col min="7" max="7" width="10.421875" style="1" customWidth="1"/>
    <col min="8" max="8" width="8.7109375" style="1" bestFit="1" customWidth="1"/>
    <col min="9" max="9" width="8.7109375" style="1" customWidth="1"/>
    <col min="10" max="12" width="8.7109375" style="1" bestFit="1" customWidth="1"/>
    <col min="13" max="13" width="8.8515625" style="1" bestFit="1" customWidth="1"/>
    <col min="14" max="14" width="17.8515625" style="1" bestFit="1" customWidth="1"/>
    <col min="15" max="15" width="10.28125" style="1" bestFit="1" customWidth="1"/>
    <col min="16" max="16" width="8.57421875" style="1" bestFit="1" customWidth="1"/>
    <col min="17" max="17" width="13.421875" style="1" bestFit="1" customWidth="1"/>
    <col min="18" max="19" width="13.421875" style="1" customWidth="1"/>
    <col min="20" max="20" width="10.7109375" style="1" bestFit="1" customWidth="1"/>
    <col min="21" max="21" width="7.57421875" style="1" bestFit="1" customWidth="1"/>
    <col min="22" max="23" width="7.8515625" style="1" bestFit="1" customWidth="1"/>
    <col min="24" max="24" width="7.8515625" style="1" customWidth="1"/>
    <col min="25" max="25" width="10.7109375" style="1" bestFit="1" customWidth="1"/>
    <col min="26" max="26" width="10.7109375" style="1" customWidth="1"/>
    <col min="27" max="28" width="9.140625" style="1" customWidth="1"/>
    <col min="29" max="29" width="7.8515625" style="1" bestFit="1" customWidth="1"/>
    <col min="30" max="30" width="7.8515625" style="15" customWidth="1"/>
    <col min="31" max="31" width="3.57421875" style="15" customWidth="1"/>
    <col min="32" max="32" width="11.28125" style="15" bestFit="1" customWidth="1"/>
    <col min="33" max="33" width="10.421875" style="15" bestFit="1" customWidth="1"/>
    <col min="34" max="34" width="11.28125" style="15" customWidth="1"/>
    <col min="35" max="35" width="10.421875" style="15" bestFit="1" customWidth="1"/>
    <col min="36" max="37" width="11.28125" style="15" customWidth="1"/>
    <col min="38" max="39" width="11.7109375" style="15" bestFit="1" customWidth="1"/>
    <col min="40" max="40" width="6.57421875" style="15" customWidth="1"/>
    <col min="41" max="43" width="11.28125" style="15" customWidth="1"/>
    <col min="44" max="44" width="10.421875" style="15" bestFit="1" customWidth="1"/>
    <col min="45" max="45" width="8.57421875" style="1" customWidth="1"/>
    <col min="46" max="47" width="9.140625" style="1" customWidth="1"/>
    <col min="48" max="48" width="12.140625" style="1" bestFit="1" customWidth="1"/>
    <col min="49" max="49" width="13.140625" style="1" bestFit="1" customWidth="1"/>
    <col min="50" max="50" width="12.7109375" style="1" bestFit="1" customWidth="1"/>
    <col min="51" max="255" width="9.140625" style="1" customWidth="1"/>
    <col min="256" max="16384" width="8.28125" style="1" customWidth="1"/>
  </cols>
  <sheetData>
    <row r="1" spans="5:35" ht="11.25">
      <c r="E1" s="11">
        <f ca="1">TODAY()</f>
        <v>45117</v>
      </c>
      <c r="AH1" s="1"/>
      <c r="AI1" s="1"/>
    </row>
    <row r="2" ht="11.25">
      <c r="E2" s="11"/>
    </row>
    <row r="3" spans="4:49" ht="11.25">
      <c r="D3" s="129">
        <f>ROUND(265.3*52.18,2)</f>
        <v>13843.35</v>
      </c>
      <c r="E3" s="11" t="s">
        <v>14</v>
      </c>
      <c r="F3" s="129">
        <f>IF(H9&lt;$C$4,$D$3,$D$4)</f>
        <v>13843.35</v>
      </c>
      <c r="H3" s="11">
        <f>IF(AND(DAY(E9)=30,MONTH(E9)=9),DATE(YEAR(E9)+65,9,30),IF(DATEDIF(E9,DATE(YEAR(E9)+65,9,30),"d")/365.25&lt;65,DATE(YEAR(E9)+66,9,30),DATE(YEAR(E9)+65,9,30)))</f>
        <v>49582</v>
      </c>
      <c r="J3" s="22" t="s">
        <v>188</v>
      </c>
      <c r="AV3" s="1" t="s">
        <v>157</v>
      </c>
      <c r="AW3" s="1">
        <f>F3</f>
        <v>13843.35</v>
      </c>
    </row>
    <row r="4" spans="3:10" ht="11.25">
      <c r="C4" s="11">
        <v>44927</v>
      </c>
      <c r="D4" s="129">
        <f>ROUND(265.3*52.18,2)</f>
        <v>13843.35</v>
      </c>
      <c r="E4" s="11"/>
      <c r="H4" s="11">
        <f>MAX(I9,H9)</f>
        <v>49582</v>
      </c>
      <c r="J4" s="22" t="s">
        <v>191</v>
      </c>
    </row>
    <row r="5" spans="17:44" ht="11.25">
      <c r="Q5" s="1" t="s">
        <v>13</v>
      </c>
      <c r="T5" s="1" t="s">
        <v>18</v>
      </c>
      <c r="AF5" s="15" t="s">
        <v>19</v>
      </c>
      <c r="AG5" s="15" t="s">
        <v>19</v>
      </c>
      <c r="AH5" s="15" t="s">
        <v>21</v>
      </c>
      <c r="AI5" s="15" t="s">
        <v>21</v>
      </c>
      <c r="AK5" s="15" t="s">
        <v>19</v>
      </c>
      <c r="AL5" s="15" t="s">
        <v>21</v>
      </c>
      <c r="AQ5" s="15" t="s">
        <v>21</v>
      </c>
      <c r="AR5" s="15" t="s">
        <v>21</v>
      </c>
    </row>
    <row r="6" spans="32:50" ht="11.25">
      <c r="AF6" s="15" t="s">
        <v>16</v>
      </c>
      <c r="AG6" s="15" t="s">
        <v>17</v>
      </c>
      <c r="AH6" s="15" t="s">
        <v>16</v>
      </c>
      <c r="AI6" s="15" t="s">
        <v>17</v>
      </c>
      <c r="AK6" s="15" t="s">
        <v>23</v>
      </c>
      <c r="AL6" s="15" t="s">
        <v>23</v>
      </c>
      <c r="AO6" s="17">
        <f>AA9</f>
        <v>12.22</v>
      </c>
      <c r="AQ6" s="15" t="s">
        <v>16</v>
      </c>
      <c r="AR6" s="15" t="s">
        <v>17</v>
      </c>
      <c r="AT6" s="31" t="s">
        <v>52</v>
      </c>
      <c r="AW6" s="1" t="s">
        <v>104</v>
      </c>
      <c r="AX6" s="1" t="s">
        <v>104</v>
      </c>
    </row>
    <row r="7" spans="1:55" s="22" customFormat="1" ht="56.25">
      <c r="A7" s="22" t="s">
        <v>34</v>
      </c>
      <c r="B7" s="22" t="s">
        <v>33</v>
      </c>
      <c r="C7" s="22" t="s">
        <v>28</v>
      </c>
      <c r="D7" s="22" t="s">
        <v>43</v>
      </c>
      <c r="E7" s="5" t="s">
        <v>3</v>
      </c>
      <c r="F7" s="5" t="s">
        <v>2</v>
      </c>
      <c r="G7" s="5" t="s">
        <v>66</v>
      </c>
      <c r="H7" s="5" t="s">
        <v>0</v>
      </c>
      <c r="I7" s="5" t="s">
        <v>154</v>
      </c>
      <c r="J7" s="5" t="s">
        <v>1</v>
      </c>
      <c r="K7" s="5"/>
      <c r="L7" s="5" t="s">
        <v>4</v>
      </c>
      <c r="M7" s="6" t="s">
        <v>5</v>
      </c>
      <c r="N7" s="6" t="s">
        <v>6</v>
      </c>
      <c r="O7" s="6" t="s">
        <v>40</v>
      </c>
      <c r="P7" s="6" t="s">
        <v>7</v>
      </c>
      <c r="Q7" s="28" t="s">
        <v>8</v>
      </c>
      <c r="R7" s="6" t="s">
        <v>42</v>
      </c>
      <c r="S7" s="6" t="s">
        <v>155</v>
      </c>
      <c r="T7" s="7" t="s">
        <v>41</v>
      </c>
      <c r="U7" s="6" t="s">
        <v>9</v>
      </c>
      <c r="V7" s="6" t="s">
        <v>48</v>
      </c>
      <c r="W7" s="28" t="s">
        <v>10</v>
      </c>
      <c r="X7" s="28" t="s">
        <v>10</v>
      </c>
      <c r="Y7" s="7" t="s">
        <v>11</v>
      </c>
      <c r="Z7" s="7" t="s">
        <v>49</v>
      </c>
      <c r="AA7" s="8" t="s">
        <v>12</v>
      </c>
      <c r="AB7" s="8" t="s">
        <v>47</v>
      </c>
      <c r="AC7" s="16"/>
      <c r="AD7" s="16" t="s">
        <v>15</v>
      </c>
      <c r="AE7" s="16"/>
      <c r="AF7" s="16" t="s">
        <v>20</v>
      </c>
      <c r="AG7" s="16" t="s">
        <v>20</v>
      </c>
      <c r="AH7" s="16" t="s">
        <v>20</v>
      </c>
      <c r="AI7" s="16" t="s">
        <v>20</v>
      </c>
      <c r="AJ7" s="16"/>
      <c r="AK7" s="16" t="s">
        <v>22</v>
      </c>
      <c r="AL7" s="16" t="s">
        <v>22</v>
      </c>
      <c r="AM7" s="16"/>
      <c r="AN7" s="16"/>
      <c r="AO7" s="16" t="s">
        <v>44</v>
      </c>
      <c r="AP7" s="16" t="s">
        <v>45</v>
      </c>
      <c r="AQ7" s="16" t="s">
        <v>50</v>
      </c>
      <c r="AR7" s="16" t="s">
        <v>50</v>
      </c>
      <c r="AS7" s="16" t="s">
        <v>46</v>
      </c>
      <c r="AT7" s="16" t="s">
        <v>51</v>
      </c>
      <c r="AV7" s="22" t="s">
        <v>165</v>
      </c>
      <c r="AW7" s="22" t="s">
        <v>166</v>
      </c>
      <c r="AX7" s="22" t="s">
        <v>103</v>
      </c>
      <c r="AZ7" s="16" t="s">
        <v>117</v>
      </c>
      <c r="BA7" s="16" t="s">
        <v>118</v>
      </c>
      <c r="BC7" s="16" t="s">
        <v>214</v>
      </c>
    </row>
    <row r="8" spans="5:44" s="15" customFormat="1" ht="11.25">
      <c r="E8" s="16"/>
      <c r="F8" s="16"/>
      <c r="G8" s="16"/>
      <c r="H8" s="16"/>
      <c r="I8" s="16"/>
      <c r="J8" s="16"/>
      <c r="K8" s="16"/>
      <c r="L8" s="16"/>
      <c r="M8" s="18"/>
      <c r="N8" s="19"/>
      <c r="O8" s="19"/>
      <c r="P8" s="19"/>
      <c r="Q8" s="29"/>
      <c r="R8" s="19"/>
      <c r="S8" s="19"/>
      <c r="T8" s="19"/>
      <c r="U8" s="19"/>
      <c r="V8" s="19"/>
      <c r="W8" s="29"/>
      <c r="X8" s="29"/>
      <c r="Y8" s="19"/>
      <c r="Z8" s="19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1:55" ht="12.75">
      <c r="A9" s="1" t="str">
        <f>Inputs!D12</f>
        <v>Doe</v>
      </c>
      <c r="B9" s="1" t="str">
        <f>Inputs!D14</f>
        <v>John</v>
      </c>
      <c r="C9" s="1" t="str">
        <f>Inputs!D6</f>
        <v>Class A</v>
      </c>
      <c r="D9" s="1" t="str">
        <f>Inputs!D8</f>
        <v>New Entrant</v>
      </c>
      <c r="E9" s="9">
        <f>Inputs!D16</f>
        <v>25569</v>
      </c>
      <c r="F9" s="130">
        <f>ROUND(DATEDIF(E9,$E$1,"d")/365.25,3)</f>
        <v>53.52</v>
      </c>
      <c r="G9" s="130">
        <f>IF(Inputs!$D$33="Age",VLOOKUP(Inputs!$D$35,Inputs!$R$56:$T$85,3,0),$H$10)</f>
        <v>65.74</v>
      </c>
      <c r="H9" s="9">
        <f>IF(Inputs!D35="Retire at 30 Sept after age 65",$H$3,IF(Inputs!$D$33="Age",DATE(YEAR(E9)+G9,MONTH(E9),DAY(E9)),DATE(Inputs!$H$35,Inputs!$F$35,Inputs!$D$35)))</f>
        <v>49582</v>
      </c>
      <c r="I9" s="9">
        <f>DATE(YEAR(E9)+IF(OR(BC9="fortnightly paid",D9="New Entrant"),65,60),MONTH(E9),DAY(E9))</f>
        <v>49310</v>
      </c>
      <c r="J9" s="130">
        <f>ROUND(DATEDIF(E9,H9,"d")/365.25,3)</f>
        <v>65.744</v>
      </c>
      <c r="K9" s="11"/>
      <c r="L9" s="23">
        <f>Inputs!$D$25</f>
        <v>0</v>
      </c>
      <c r="M9" s="24">
        <v>0</v>
      </c>
      <c r="N9" s="23">
        <f>M9+L9</f>
        <v>0</v>
      </c>
      <c r="O9" s="12">
        <f>IF(Inputs!$D$31=Inputs!$R$25,100%,Inputs!$D$27)</f>
        <v>1</v>
      </c>
      <c r="P9" s="130">
        <f>Inputs!$D$21+Inputs!$F$21/365</f>
        <v>0</v>
      </c>
      <c r="Q9" s="30">
        <f>MIN(P9*(4/3),40)</f>
        <v>0</v>
      </c>
      <c r="R9" s="130">
        <f>Inputs!$D$23+Inputs!$F$23/365</f>
        <v>0</v>
      </c>
      <c r="S9" s="10">
        <f>R9</f>
        <v>0</v>
      </c>
      <c r="T9" s="13">
        <f>IF($T$5="yes",Q9,P9)+IF(Inputs!$D$31=Inputs!$R$23,'Member Calcs'!$S$9,'Member Calcs'!$R$9)</f>
        <v>0</v>
      </c>
      <c r="U9" s="130">
        <f>MAX(MIN(40-P9,(J9-F9)*O9),0)</f>
        <v>12.224</v>
      </c>
      <c r="V9" s="10">
        <f>MAX(MIN(40-P9,(IF(D9="New Entrant",65,60)-F9)*O9),0)</f>
        <v>11.48</v>
      </c>
      <c r="W9" s="30">
        <f>MIN(U9*(4/3),40-Q9)</f>
        <v>16.3</v>
      </c>
      <c r="X9" s="30">
        <f>MIN(V9*(4/3),40-Q9)</f>
        <v>15.31</v>
      </c>
      <c r="Y9" s="138">
        <f>MAX(IF($T$5="yes",W9,U9),0)</f>
        <v>12.224</v>
      </c>
      <c r="Z9" s="13">
        <f>MAX(IF($T$5="yes",X9,V9),0)</f>
        <v>11.48</v>
      </c>
      <c r="AA9" s="139">
        <f>IF($T$5="yes",Q9+W9,U9+P9)+IF(Inputs!$D$31=Inputs!$R$23,'Member Calcs'!$S$9,'Member Calcs'!$R$9)</f>
        <v>12.224</v>
      </c>
      <c r="AB9" s="14">
        <f>IF($T$5="yes",Q9+X9,V9+P9)</f>
        <v>11.48</v>
      </c>
      <c r="AC9" s="17"/>
      <c r="AD9" s="47">
        <f>$F$3*ROUND((3+1/3),6)</f>
        <v>46144.5</v>
      </c>
      <c r="AE9" s="21"/>
      <c r="AF9" s="21">
        <f>IF(C9="Class D",0,MIN(AD9,N9)*1/200*MIN(T9,40))</f>
        <v>0</v>
      </c>
      <c r="AG9" s="21">
        <f>IF(C9="Class D",N9,MAX(0,N9-AD9))*1/80*MIN(T9,40)</f>
        <v>0</v>
      </c>
      <c r="AH9" s="21">
        <f>IF(C9="Class D",0,MIN(AD9,N9)*1/200*MIN(T9+Y9,40))</f>
        <v>0</v>
      </c>
      <c r="AI9" s="21">
        <f>IF(C9="Class D",N9,MAX(0,N9-AD9))*1/80*MIN(T9+Y9,40)</f>
        <v>0</v>
      </c>
      <c r="AJ9" s="17"/>
      <c r="AK9" s="21">
        <f>MAX(0,N9)*3/80*MIN(T9,40)</f>
        <v>0</v>
      </c>
      <c r="AL9" s="21">
        <f>MAX(0,N9)*3/80*MIN(T9+Y9,40)</f>
        <v>0</v>
      </c>
      <c r="AM9" s="17"/>
      <c r="AN9" s="17"/>
      <c r="AO9" s="17">
        <f>MIN(IF(AO6&lt;5,0,IF(AND(AO6&gt;5,AO6&lt;10),AO6,IF(AND(AO6&gt;10,AO6&lt;20),MAX(6+2/3,(20-AO6)),6+2/3))),Z9)</f>
        <v>7.78</v>
      </c>
      <c r="AP9" s="21">
        <f>MAX(MAX(0,N9)*3/80*MIN(T9+AO9,40),N9*1)</f>
        <v>0</v>
      </c>
      <c r="AQ9" s="21">
        <f>IF(C9="Class D",0,MIN(AD9,N9)*1/200*MIN(T9+Z9,40))</f>
        <v>0</v>
      </c>
      <c r="AR9" s="21">
        <f>IF(C9="Class D",N9,MAX(0,N9-AD9))*1/80*MIN(T9+Z9,40)</f>
        <v>0</v>
      </c>
      <c r="AS9" s="24">
        <f>IF(BC9="fortnightly paid",0.5*(AR9+AQ9),(IF(C9="Class D",N9,MAX(0,N9-AW3))*1/80*MIN(T9+Z9+IF(D9="Other",5,0),40))*0.5)</f>
        <v>0</v>
      </c>
      <c r="AT9" s="24">
        <f>IF(BC9="fortnightly paid",0.5*(AR9+AQ9),(IF(C9="Class D",N9,MAX(0,N9-AW3))*1/80*MIN(T9+Z9+IF(D9="Other",5,0),40))*0.5)</f>
        <v>0</v>
      </c>
      <c r="AV9" s="24">
        <f>ROUND(AI9*AW13,0)</f>
        <v>0</v>
      </c>
      <c r="AW9" s="24">
        <f>ROUND((AH9)*AW13,0)</f>
        <v>0</v>
      </c>
      <c r="AX9" s="24">
        <f>AL9*AX13</f>
        <v>0</v>
      </c>
      <c r="AZ9" s="24">
        <f>IF(BC9="fortnightly paid",0.5*(AI9+AH9),(IF(C9="Class D",N9,MAX(0,N9-$AW$3))*1/80*MIN(T9+Y9,40))*0.5)</f>
        <v>0</v>
      </c>
      <c r="BA9" s="24">
        <f>IF(BC9="fortnightly paid",0.5*(AI9+AH9),(IF(C9="Class D",N9,MAX(0,N9-$AW$3))*1/80*MIN(T9+Y9,40))*0.5)</f>
        <v>0</v>
      </c>
      <c r="BC9" s="1" t="str">
        <f>Inputs!D4</f>
        <v>Monthly Paid</v>
      </c>
    </row>
    <row r="10" spans="5:52" s="3" customFormat="1" ht="11.25">
      <c r="E10" s="2"/>
      <c r="F10" s="36"/>
      <c r="G10" s="2"/>
      <c r="H10" s="39">
        <f>(DATEDIF(E9,$H$9,"d")/365)</f>
        <v>65.79</v>
      </c>
      <c r="I10" s="32"/>
      <c r="J10" s="39"/>
      <c r="K10" s="2"/>
      <c r="L10" s="25"/>
      <c r="M10" s="26"/>
      <c r="N10" s="27"/>
      <c r="O10" s="2"/>
      <c r="P10" s="36"/>
      <c r="Q10" s="2"/>
      <c r="R10" s="2"/>
      <c r="S10" s="2" t="s">
        <v>167</v>
      </c>
      <c r="T10" s="2"/>
      <c r="U10" s="2"/>
      <c r="AF10" s="41">
        <f>IF($C$9="Class D",0,ROUND(MIN(AD9,N9),0))</f>
        <v>0</v>
      </c>
      <c r="AG10" s="41">
        <f>IF($C$9="Class D",ROUND($N$9,0),ROUND(MAX(0,N9-AD9),0))</f>
        <v>0</v>
      </c>
      <c r="AI10" s="20"/>
      <c r="AJ10" s="20"/>
      <c r="AK10" s="20"/>
      <c r="AL10" s="20"/>
      <c r="AM10" s="20"/>
      <c r="AN10" s="20"/>
      <c r="AO10" s="20"/>
      <c r="AP10" s="20">
        <f>AO9+T9</f>
        <v>7.78</v>
      </c>
      <c r="AR10" s="20"/>
      <c r="AS10" s="41"/>
      <c r="AZ10" s="41"/>
    </row>
    <row r="11" spans="6:50" s="4" customFormat="1" ht="11.25">
      <c r="F11" s="10"/>
      <c r="H11" s="10">
        <f>INT(H10)</f>
        <v>65</v>
      </c>
      <c r="I11" s="4">
        <f>INT((H10-H11)*12)</f>
        <v>9</v>
      </c>
      <c r="N11" s="1"/>
      <c r="S11" s="4">
        <f>(P9/(U9+P9))*R9</f>
        <v>0</v>
      </c>
      <c r="AA11" s="10">
        <f>INT(AA9)</f>
        <v>12</v>
      </c>
      <c r="AD11" s="3"/>
      <c r="AE11" s="3"/>
      <c r="AF11" s="3"/>
      <c r="AG11" s="3"/>
      <c r="AH11" s="3"/>
      <c r="AI11" s="41">
        <f>AI9+AH9</f>
        <v>0</v>
      </c>
      <c r="AJ11" s="3"/>
      <c r="AK11" s="3"/>
      <c r="AL11" s="3"/>
      <c r="AM11" s="3"/>
      <c r="AN11" s="3"/>
      <c r="AO11" s="3"/>
      <c r="AP11" s="3"/>
      <c r="AQ11" s="3"/>
      <c r="AR11" s="3"/>
      <c r="AV11" s="10">
        <f>INT($J$9)</f>
        <v>65</v>
      </c>
      <c r="AW11" s="130">
        <f>IF(ISNA(IF(OR(BC9="fortnightly paid",D9="New Entrant"),VLOOKUP(INT($J$9),$G$37:$I$47,2,0),VLOOKUP(INT($J$9),$C$37:$E$47,2,0))),0,IF(OR(BC9="fortnightly paid",D9="New Entrant"),VLOOKUP(INT($J$9),$G$37:$I$47,2,0),VLOOKUP(INT($J$9),$C$37:$E$47,2,0)))</f>
        <v>1</v>
      </c>
      <c r="AX11" s="130">
        <f>IF(ISNA(IF(OR(D9="New Entrant",BC9="fortnightly paid"),VLOOKUP(INT($J$9),$G$37:$I$47,3,0),VLOOKUP(INT($J$9),$C$37:$E$47,3,0))),0,IF(OR(D9="New Entrant",BC9="fortnightly paid"),VLOOKUP(INT($J$9),$G$37:$I$47,3,0),VLOOKUP(INT($J$9),$C$37:$E$47,3,0)))</f>
        <v>1</v>
      </c>
    </row>
    <row r="12" spans="8:52" ht="11.25">
      <c r="H12" s="34">
        <f>DATEDIF(E9,$H$9,"d")/365</f>
        <v>65.79</v>
      </c>
      <c r="K12" s="1" t="s">
        <v>168</v>
      </c>
      <c r="O12" s="1" t="s">
        <v>169</v>
      </c>
      <c r="AA12" s="34">
        <f>AA9-AA11</f>
        <v>0.22</v>
      </c>
      <c r="AS12" s="34">
        <f>T9+Z9</f>
        <v>11.48</v>
      </c>
      <c r="AV12" s="10">
        <f>INT($J$9)+1</f>
        <v>66</v>
      </c>
      <c r="AW12" s="40">
        <f>IF(ISNA(IF(OR(BC9="fortnightly paid",D9="New Entrant"),VLOOKUP(INT($J$9+1),$G$37:$I$47,2,0),VLOOKUP(INT($J$9+1),$C$37:$E$47,2,0))),0,IF(OR(BC9="fortnightly paid",D9="New Entrant"),VLOOKUP(INT($J$9+1),$G$37:$I$47,2,0),VLOOKUP(INT($J$9+1),$C$37:$E$47,2,0)))</f>
        <v>0</v>
      </c>
      <c r="AX12" s="40">
        <f>IF(ISNA(IF(OR(BC9="fortnightly paid",D9="New Entrant"),VLOOKUP(INT($J$9+1),$G$37:$I$47,3,0),VLOOKUP(INT($J$9+1),$C$37:$E$47,3,0))),0,IF(OR(BC9="fortnightly paid",D9="New Entrant"),VLOOKUP(INT($J$9+1),$G$37:$I$47,3,0),VLOOKUP(INT($J$9+1),$C$37:$E$47,3,0)))</f>
        <v>0</v>
      </c>
      <c r="AZ12" s="129"/>
    </row>
    <row r="13" spans="6:53" ht="11.25">
      <c r="F13" s="1" t="s">
        <v>136</v>
      </c>
      <c r="H13" s="1">
        <f>IF(Inputs!$D$31=Inputs!$R$22,1,0)</f>
        <v>1</v>
      </c>
      <c r="I13" s="1">
        <f>IF(H13=1,IF(H10&lt;IF(D9="New Entrant",65,60),1,0),0)</f>
        <v>0</v>
      </c>
      <c r="K13" s="1">
        <f>IF(Inputs!$D$31=Inputs!$R$23,1,0)</f>
        <v>0</v>
      </c>
      <c r="L13" s="1">
        <f>IF(H9&gt;I9,1,0)</f>
        <v>1</v>
      </c>
      <c r="M13" s="1">
        <f>K13+L13</f>
        <v>1</v>
      </c>
      <c r="O13" s="1">
        <f>IF(Inputs!$D$31=Inputs!$R$24,1,0)</f>
        <v>0</v>
      </c>
      <c r="P13" s="1">
        <f>IF(H9&gt;I9,1,0)</f>
        <v>1</v>
      </c>
      <c r="Q13" s="1">
        <f>O13+P13</f>
        <v>1</v>
      </c>
      <c r="AO13" s="17"/>
      <c r="AT13" s="31"/>
      <c r="AV13" s="34">
        <f>$J$9</f>
        <v>65.74</v>
      </c>
      <c r="AW13" s="40">
        <f>((ROUND($J$9,2)-$AV$11)/($AV$12-$AV$11))*(AW12-AW11)+AW11</f>
        <v>0.26</v>
      </c>
      <c r="AX13" s="40">
        <f>((ROUND($J$9,2)-$AV$11)/($AV$12-$AV$11))*(AX12-AX11)+AX11</f>
        <v>0.26</v>
      </c>
      <c r="AZ13" s="24"/>
      <c r="BA13" s="24"/>
    </row>
    <row r="14" spans="6:53" ht="11.25">
      <c r="F14" s="1" t="s">
        <v>137</v>
      </c>
      <c r="H14" s="1">
        <f>IF(Inputs!$D$31=Inputs!$R$24,1,0)</f>
        <v>0</v>
      </c>
      <c r="I14" s="1">
        <f>IF(H14=1,IF(H10&lt;IF(D9="New Entrant",55,50),1,0),0)</f>
        <v>0</v>
      </c>
      <c r="U14" s="40">
        <f>MAX(MIN(40-P9,(J9-F9)),0)</f>
        <v>12.224</v>
      </c>
      <c r="AA14" s="40">
        <f>U14+P9+IF(Inputs!$D$31=Inputs!$R$23,$S$9,$R$9)</f>
        <v>12.224</v>
      </c>
      <c r="AB14" s="1" t="s">
        <v>190</v>
      </c>
      <c r="AW14" s="40">
        <f>ROUND(AW13,3)*100</f>
        <v>26</v>
      </c>
      <c r="AX14" s="40">
        <f>ROUND(AX13,3)*100</f>
        <v>26</v>
      </c>
      <c r="AZ14" s="24"/>
      <c r="BA14" s="24"/>
    </row>
    <row r="15" spans="49:53" ht="11.25">
      <c r="AW15" s="24">
        <f>N9</f>
        <v>0</v>
      </c>
      <c r="BA15" s="24"/>
    </row>
    <row r="16" spans="49:54" ht="11.25">
      <c r="AW16" s="1">
        <f>AW15*(1/80)</f>
        <v>0</v>
      </c>
      <c r="AZ16" s="24"/>
      <c r="BA16" s="24"/>
      <c r="BB16" s="24">
        <f>BA16*0.5</f>
        <v>0</v>
      </c>
    </row>
    <row r="19" s="42" customFormat="1" ht="5.25" customHeight="1"/>
    <row r="21" spans="2:14" ht="11.25">
      <c r="B21" s="1" t="s">
        <v>81</v>
      </c>
      <c r="C21" s="1" t="s">
        <v>82</v>
      </c>
      <c r="D21" s="1" t="s">
        <v>83</v>
      </c>
      <c r="E21" s="1" t="s">
        <v>77</v>
      </c>
      <c r="G21" s="1" t="s">
        <v>84</v>
      </c>
      <c r="H21" s="1" t="s">
        <v>85</v>
      </c>
      <c r="I21" s="1" t="s">
        <v>86</v>
      </c>
      <c r="J21" s="1" t="s">
        <v>77</v>
      </c>
      <c r="L21" s="1" t="s">
        <v>87</v>
      </c>
      <c r="N21" s="1" t="s">
        <v>92</v>
      </c>
    </row>
    <row r="22" spans="1:21" ht="11.25">
      <c r="A22" s="4" t="s">
        <v>88</v>
      </c>
      <c r="B22" s="33"/>
      <c r="E22" s="35" t="str">
        <f aca="true" t="shared" si="0" ref="E22:E28">IF(B22="","NA",DATE(D22,C22,B22))</f>
        <v>NA</v>
      </c>
      <c r="J22" s="35" t="str">
        <f aca="true" t="shared" si="1" ref="J22:J28">IF(G22="","NA",DATE(I22,H22,G22))</f>
        <v>NA</v>
      </c>
      <c r="L22" s="37"/>
      <c r="N22" s="34">
        <f aca="true" t="shared" si="2" ref="N22:N28">IF(E22="NA",0,DATEDIF(E22,J22,"d")/365*L22)</f>
        <v>0</v>
      </c>
      <c r="P22" s="1">
        <f aca="true" t="shared" si="3" ref="P22:P28">IF(J22&lt;E22,1,0)</f>
        <v>0</v>
      </c>
      <c r="Q22" s="1">
        <f aca="true" t="shared" si="4" ref="Q22:Q28">IF(L22&gt;1,1,0)</f>
        <v>0</v>
      </c>
      <c r="R22" s="1">
        <f>IF(J22&lt;E22,"Please re-enter your service again","")</f>
      </c>
      <c r="S22" s="24"/>
      <c r="T22" s="37"/>
      <c r="U22" s="24" t="e">
        <f>S22/T22</f>
        <v>#DIV/0!</v>
      </c>
    </row>
    <row r="23" spans="1:17" ht="11.25">
      <c r="A23" s="4" t="s">
        <v>89</v>
      </c>
      <c r="E23" s="35" t="str">
        <f t="shared" si="0"/>
        <v>NA</v>
      </c>
      <c r="J23" s="35" t="str">
        <f t="shared" si="1"/>
        <v>NA</v>
      </c>
      <c r="L23" s="37"/>
      <c r="N23" s="34">
        <f t="shared" si="2"/>
        <v>0</v>
      </c>
      <c r="P23" s="1">
        <f t="shared" si="3"/>
        <v>0</v>
      </c>
      <c r="Q23" s="1">
        <f t="shared" si="4"/>
        <v>0</v>
      </c>
    </row>
    <row r="24" spans="1:17" ht="11.25">
      <c r="A24" s="4" t="s">
        <v>90</v>
      </c>
      <c r="E24" s="35" t="str">
        <f t="shared" si="0"/>
        <v>NA</v>
      </c>
      <c r="J24" s="35" t="str">
        <f t="shared" si="1"/>
        <v>NA</v>
      </c>
      <c r="L24" s="37"/>
      <c r="N24" s="34">
        <f t="shared" si="2"/>
        <v>0</v>
      </c>
      <c r="P24" s="1">
        <f t="shared" si="3"/>
        <v>0</v>
      </c>
      <c r="Q24" s="1">
        <f t="shared" si="4"/>
        <v>0</v>
      </c>
    </row>
    <row r="25" spans="1:17" ht="11.25">
      <c r="A25" s="1" t="s">
        <v>91</v>
      </c>
      <c r="E25" s="35" t="str">
        <f t="shared" si="0"/>
        <v>NA</v>
      </c>
      <c r="J25" s="35" t="str">
        <f t="shared" si="1"/>
        <v>NA</v>
      </c>
      <c r="L25" s="37"/>
      <c r="N25" s="34">
        <f t="shared" si="2"/>
        <v>0</v>
      </c>
      <c r="P25" s="1">
        <f t="shared" si="3"/>
        <v>0</v>
      </c>
      <c r="Q25" s="1">
        <f t="shared" si="4"/>
        <v>0</v>
      </c>
    </row>
    <row r="26" spans="1:17" ht="11.25">
      <c r="A26" s="4" t="s">
        <v>185</v>
      </c>
      <c r="E26" s="35" t="str">
        <f t="shared" si="0"/>
        <v>NA</v>
      </c>
      <c r="J26" s="35" t="str">
        <f t="shared" si="1"/>
        <v>NA</v>
      </c>
      <c r="L26" s="37"/>
      <c r="N26" s="34">
        <f t="shared" si="2"/>
        <v>0</v>
      </c>
      <c r="P26" s="1">
        <f t="shared" si="3"/>
        <v>0</v>
      </c>
      <c r="Q26" s="1">
        <f t="shared" si="4"/>
        <v>0</v>
      </c>
    </row>
    <row r="27" spans="1:17" ht="11.25">
      <c r="A27" s="4" t="s">
        <v>186</v>
      </c>
      <c r="E27" s="35" t="str">
        <f t="shared" si="0"/>
        <v>NA</v>
      </c>
      <c r="J27" s="35" t="str">
        <f t="shared" si="1"/>
        <v>NA</v>
      </c>
      <c r="L27" s="37"/>
      <c r="N27" s="34">
        <f t="shared" si="2"/>
        <v>0</v>
      </c>
      <c r="P27" s="1">
        <f t="shared" si="3"/>
        <v>0</v>
      </c>
      <c r="Q27" s="1">
        <f t="shared" si="4"/>
        <v>0</v>
      </c>
    </row>
    <row r="28" spans="1:17" ht="11.25">
      <c r="A28" s="4" t="s">
        <v>187</v>
      </c>
      <c r="E28" s="35" t="str">
        <f t="shared" si="0"/>
        <v>NA</v>
      </c>
      <c r="J28" s="35" t="str">
        <f t="shared" si="1"/>
        <v>NA</v>
      </c>
      <c r="L28" s="37"/>
      <c r="N28" s="34">
        <f t="shared" si="2"/>
        <v>0</v>
      </c>
      <c r="P28" s="1">
        <f t="shared" si="3"/>
        <v>0</v>
      </c>
      <c r="Q28" s="1">
        <f t="shared" si="4"/>
        <v>0</v>
      </c>
    </row>
    <row r="29" spans="1:16" ht="11.25">
      <c r="A29" s="4"/>
      <c r="P29" s="1">
        <f>IF(SUM(P22:Q28)&gt;0,"There is an error in your service records","")</f>
      </c>
    </row>
    <row r="30" spans="1:16" ht="11.25">
      <c r="A30" s="4"/>
      <c r="N30" s="34">
        <f>SUM(N22:N28)</f>
        <v>0</v>
      </c>
      <c r="P30" s="1">
        <f>IF(SUM(P22:Q28)&gt;0,"Please re-enter your service again","")</f>
      </c>
    </row>
    <row r="31" spans="1:15" ht="11.25">
      <c r="A31" s="4"/>
      <c r="E31" s="11"/>
      <c r="J31" s="11"/>
      <c r="N31" s="34">
        <f>INT(N30)</f>
        <v>0</v>
      </c>
      <c r="O31" s="1">
        <f>ROUND((N30-INT(N31))*365.25,0)</f>
        <v>0</v>
      </c>
    </row>
    <row r="32" spans="1:14" ht="11.25">
      <c r="A32" s="4"/>
      <c r="E32" s="11"/>
      <c r="J32" s="11"/>
      <c r="N32" s="34"/>
    </row>
    <row r="33" spans="1:14" s="15" customFormat="1" ht="8.25" customHeight="1">
      <c r="A33" s="3"/>
      <c r="E33" s="46"/>
      <c r="J33" s="46"/>
      <c r="N33" s="17"/>
    </row>
    <row r="34" spans="1:14" s="42" customFormat="1" ht="5.25" customHeight="1">
      <c r="A34" s="43"/>
      <c r="E34" s="44"/>
      <c r="J34" s="44"/>
      <c r="N34" s="45"/>
    </row>
    <row r="35" spans="4:10" ht="11.25">
      <c r="D35" s="1" t="s">
        <v>74</v>
      </c>
      <c r="E35" s="11"/>
      <c r="H35" s="1" t="s">
        <v>75</v>
      </c>
      <c r="I35" s="11"/>
      <c r="J35" s="11"/>
    </row>
    <row r="36" spans="1:9" ht="11.25">
      <c r="A36" s="4"/>
      <c r="C36" s="4"/>
      <c r="D36" s="1" t="s">
        <v>20</v>
      </c>
      <c r="E36" s="1" t="s">
        <v>103</v>
      </c>
      <c r="G36" s="4"/>
      <c r="H36" s="1" t="s">
        <v>20</v>
      </c>
      <c r="I36" s="1" t="s">
        <v>103</v>
      </c>
    </row>
    <row r="37" spans="1:9" ht="11.25">
      <c r="A37" s="4"/>
      <c r="C37" s="1">
        <v>50</v>
      </c>
      <c r="D37" s="38">
        <v>0.624</v>
      </c>
      <c r="E37" s="38">
        <v>0.822</v>
      </c>
      <c r="G37" s="1">
        <v>55</v>
      </c>
      <c r="H37" s="38">
        <v>0.582</v>
      </c>
      <c r="I37" s="38">
        <v>0.824</v>
      </c>
    </row>
    <row r="38" spans="1:9" ht="11.25">
      <c r="A38" s="4"/>
      <c r="C38" s="1">
        <v>51</v>
      </c>
      <c r="D38" s="38">
        <v>0.651</v>
      </c>
      <c r="E38" s="38">
        <v>0.839</v>
      </c>
      <c r="G38" s="1">
        <v>56</v>
      </c>
      <c r="H38" s="38">
        <v>0.611</v>
      </c>
      <c r="I38" s="38">
        <v>0.84</v>
      </c>
    </row>
    <row r="39" spans="3:9" ht="11.25">
      <c r="C39" s="1">
        <v>52</v>
      </c>
      <c r="D39" s="38">
        <v>0.679</v>
      </c>
      <c r="E39" s="38">
        <v>0.855</v>
      </c>
      <c r="G39" s="1">
        <v>57</v>
      </c>
      <c r="H39" s="38">
        <v>0.641</v>
      </c>
      <c r="I39" s="38">
        <v>0.856</v>
      </c>
    </row>
    <row r="40" spans="3:9" ht="11.25">
      <c r="C40" s="1">
        <v>53</v>
      </c>
      <c r="D40" s="38">
        <v>0.71</v>
      </c>
      <c r="E40" s="38">
        <v>0.872</v>
      </c>
      <c r="G40" s="1">
        <v>58</v>
      </c>
      <c r="H40" s="38">
        <v>0.674</v>
      </c>
      <c r="I40" s="38">
        <v>0.873</v>
      </c>
    </row>
    <row r="41" spans="3:9" ht="11.25">
      <c r="C41" s="1">
        <v>54</v>
      </c>
      <c r="D41" s="38">
        <v>0.743</v>
      </c>
      <c r="E41" s="38">
        <v>0.889</v>
      </c>
      <c r="G41" s="1">
        <v>59</v>
      </c>
      <c r="H41" s="38">
        <v>0.71</v>
      </c>
      <c r="I41" s="38">
        <v>0.89</v>
      </c>
    </row>
    <row r="42" spans="3:9" ht="11.25">
      <c r="C42" s="1">
        <v>55</v>
      </c>
      <c r="D42" s="38">
        <v>0.778</v>
      </c>
      <c r="E42" s="38">
        <v>0.907</v>
      </c>
      <c r="G42" s="1">
        <v>60</v>
      </c>
      <c r="H42" s="38">
        <v>0.748</v>
      </c>
      <c r="I42" s="38">
        <v>0.907</v>
      </c>
    </row>
    <row r="43" spans="3:9" ht="11.25">
      <c r="C43" s="1">
        <v>56</v>
      </c>
      <c r="D43" s="38">
        <v>0.816</v>
      </c>
      <c r="E43" s="38">
        <v>0.924</v>
      </c>
      <c r="G43" s="1">
        <v>61</v>
      </c>
      <c r="H43" s="38">
        <v>0.79</v>
      </c>
      <c r="I43" s="38">
        <v>0.925</v>
      </c>
    </row>
    <row r="44" spans="3:9" ht="11.25">
      <c r="C44" s="1">
        <v>57</v>
      </c>
      <c r="D44" s="38">
        <v>0.857</v>
      </c>
      <c r="E44" s="38">
        <v>0.943</v>
      </c>
      <c r="G44" s="1">
        <v>62</v>
      </c>
      <c r="H44" s="38">
        <v>0.836</v>
      </c>
      <c r="I44" s="38">
        <v>0.943</v>
      </c>
    </row>
    <row r="45" spans="3:9" ht="11.25">
      <c r="C45" s="1">
        <v>58</v>
      </c>
      <c r="D45" s="38">
        <v>0.901</v>
      </c>
      <c r="E45" s="38">
        <v>0.961</v>
      </c>
      <c r="G45" s="1">
        <v>63</v>
      </c>
      <c r="H45" s="38">
        <v>0.885</v>
      </c>
      <c r="I45" s="38">
        <v>0.961</v>
      </c>
    </row>
    <row r="46" spans="3:9" ht="11.25">
      <c r="C46" s="1">
        <v>59</v>
      </c>
      <c r="D46" s="38">
        <v>0.948</v>
      </c>
      <c r="E46" s="38">
        <v>0.98</v>
      </c>
      <c r="G46" s="1">
        <v>64</v>
      </c>
      <c r="H46" s="38">
        <v>0.94</v>
      </c>
      <c r="I46" s="38">
        <v>0.98</v>
      </c>
    </row>
    <row r="47" spans="3:9" ht="11.25">
      <c r="C47" s="1">
        <v>60</v>
      </c>
      <c r="D47" s="37">
        <v>1</v>
      </c>
      <c r="E47" s="37">
        <v>1</v>
      </c>
      <c r="G47" s="1">
        <v>65</v>
      </c>
      <c r="H47" s="37">
        <v>1</v>
      </c>
      <c r="I47" s="37">
        <v>1</v>
      </c>
    </row>
    <row r="49" s="42" customFormat="1" ht="6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K126"/>
  <sheetViews>
    <sheetView rightToLeft="1" zoomScalePageLayoutView="0" workbookViewId="0" topLeftCell="A13">
      <selection activeCell="C1" sqref="C1"/>
    </sheetView>
  </sheetViews>
  <sheetFormatPr defaultColWidth="9.140625" defaultRowHeight="12.75"/>
  <cols>
    <col min="1" max="1" width="9.140625" style="71" customWidth="1"/>
    <col min="2" max="2" width="74.7109375" style="71" customWidth="1"/>
    <col min="3" max="3" width="27.00390625" style="71" customWidth="1"/>
    <col min="4" max="6" width="9.140625" style="71" customWidth="1"/>
    <col min="7" max="7" width="9.8515625" style="71" bestFit="1" customWidth="1"/>
    <col min="8" max="16384" width="9.140625" style="71" customWidth="1"/>
  </cols>
  <sheetData>
    <row r="1" spans="2:3" ht="12">
      <c r="B1" s="48"/>
      <c r="C1" s="49"/>
    </row>
    <row r="2" spans="2:3" ht="12">
      <c r="B2" s="53" t="s">
        <v>151</v>
      </c>
      <c r="C2" s="51"/>
    </row>
    <row r="3" spans="2:3" ht="12">
      <c r="B3" s="82" t="s">
        <v>182</v>
      </c>
      <c r="C3" s="51"/>
    </row>
    <row r="4" spans="2:3" ht="12">
      <c r="B4" s="50"/>
      <c r="C4" s="51"/>
    </row>
    <row r="5" spans="2:3" ht="12">
      <c r="B5" s="52" t="s">
        <v>54</v>
      </c>
      <c r="C5" s="51"/>
    </row>
    <row r="6" spans="2:3" ht="12">
      <c r="B6" s="53"/>
      <c r="C6" s="51"/>
    </row>
    <row r="7" spans="2:3" ht="12">
      <c r="B7" s="50" t="s">
        <v>55</v>
      </c>
      <c r="C7" s="51" t="str">
        <f>'Member Calcs'!$B$9&amp;" "&amp;'Member Calcs'!$A$9</f>
        <v>John Doe</v>
      </c>
    </row>
    <row r="8" spans="2:3" ht="12">
      <c r="B8" s="50"/>
      <c r="C8" s="51"/>
    </row>
    <row r="9" spans="2:9" ht="12">
      <c r="B9" s="50" t="s">
        <v>56</v>
      </c>
      <c r="C9" s="54">
        <f>'Member Calcs'!$E$9</f>
        <v>25569</v>
      </c>
      <c r="I9" s="72"/>
    </row>
    <row r="10" spans="2:3" ht="12">
      <c r="B10" s="50"/>
      <c r="C10" s="51"/>
    </row>
    <row r="11" spans="2:7" ht="12">
      <c r="B11" s="50" t="s">
        <v>174</v>
      </c>
      <c r="C11" s="54">
        <f>'Member Calcs'!H3</f>
        <v>49582</v>
      </c>
      <c r="G11" s="72"/>
    </row>
    <row r="12" spans="2:3" ht="12">
      <c r="B12" s="55"/>
      <c r="C12" s="51"/>
    </row>
    <row r="13" spans="2:3" ht="12">
      <c r="B13" s="50" t="s">
        <v>28</v>
      </c>
      <c r="C13" s="51" t="str">
        <f>'Member Calcs'!$C$9</f>
        <v>Class A</v>
      </c>
    </row>
    <row r="14" spans="2:3" ht="12">
      <c r="B14" s="55"/>
      <c r="C14" s="51"/>
    </row>
    <row r="15" spans="2:3" ht="12">
      <c r="B15" s="50" t="s">
        <v>173</v>
      </c>
      <c r="C15" s="51" t="str">
        <f>'Member Calcs'!$D$9</f>
        <v>New Entrant</v>
      </c>
    </row>
    <row r="16" spans="2:3" ht="12">
      <c r="B16" s="55"/>
      <c r="C16" s="51"/>
    </row>
    <row r="17" spans="2:6" ht="12">
      <c r="B17" s="50" t="str">
        <f>IF(Inputs!$D$31=Inputs!$R$25,"Date of Calculation",IF(Inputs!$D$31=Inputs!$R$23,"Anticipated Date of Exit",IF(Inputs!$D$31=Inputs!$R$24,"Anticipated Early Retirement Date","Anticipated Retirement Date")))</f>
        <v>Anticipated Retirement Date</v>
      </c>
      <c r="C17" s="54">
        <f>IF(Inputs!$D$31=Inputs!$R$25,'Member Calcs'!$E$1,'Member Calcs'!$H$9)</f>
        <v>49582</v>
      </c>
      <c r="F17" s="72"/>
    </row>
    <row r="18" spans="2:3" ht="12">
      <c r="B18" s="55"/>
      <c r="C18" s="51"/>
    </row>
    <row r="19" spans="2:3" ht="12">
      <c r="B19" s="50" t="s">
        <v>57</v>
      </c>
      <c r="C19" s="51"/>
    </row>
    <row r="20" spans="2:3" ht="12">
      <c r="B20" s="50" t="s">
        <v>176</v>
      </c>
      <c r="C20" s="56" t="str">
        <f>ROUND('Member Calcs'!$P$9,3)&amp;" year(s)"</f>
        <v>0 year(s)</v>
      </c>
    </row>
    <row r="21" spans="2:3" ht="12">
      <c r="B21" s="55"/>
      <c r="C21" s="51"/>
    </row>
    <row r="22" spans="2:3" ht="12">
      <c r="B22" s="50" t="s">
        <v>175</v>
      </c>
      <c r="C22" s="51"/>
    </row>
    <row r="23" spans="2:3" ht="12">
      <c r="B23" s="50" t="str">
        <f>"to "&amp;IF(Inputs!$D$31=Inputs!$R$23,"Date of Exit",IF(Inputs!$D$31=Inputs!$R$25,"Date of Calculation",IF(Inputs!$D$31=Inputs!$R$22,"Date of Retirement","Date of Early Retirement")))&amp;IF(OR(Inputs!$D$31=Inputs!$R$22,Inputs!$D$31=Inputs!$R$24)," (Age "&amp;'Member Calcs'!$H$11&amp;IF('Member Calcs'!$I$11=0,""," and "&amp;'Member Calcs'!$I$11&amp;" Months")&amp;")","")</f>
        <v>to Date of Retirement (Age 65 and 9 Months)</v>
      </c>
      <c r="C23" s="56" t="str">
        <f>ROUND('Member Calcs'!$Y$9,3)&amp;" year(s)"</f>
        <v>12.224 year(s)</v>
      </c>
    </row>
    <row r="24" spans="2:3" ht="12">
      <c r="B24" s="55"/>
      <c r="C24" s="51"/>
    </row>
    <row r="25" spans="2:7" ht="12">
      <c r="B25" s="50" t="s">
        <v>158</v>
      </c>
      <c r="C25" s="56" t="str">
        <f>ROUND('Member Calcs'!$R$9,3)&amp;" year(s)"</f>
        <v>0 year(s)</v>
      </c>
      <c r="G25" s="72"/>
    </row>
    <row r="26" spans="2:3" ht="12">
      <c r="B26" s="50"/>
      <c r="C26" s="51"/>
    </row>
    <row r="27" spans="2:3" ht="12">
      <c r="B27" s="50" t="str">
        <f>"Total Potential Service to "&amp;IF(Inputs!$D$31=Inputs!$R$25,"Date of Death",IF(Inputs!$D$31=Inputs!$R$23,"Date of Exit",IF(Inputs!$D$31=Inputs!$R$24,"Early Retirement Date","Retirement Date ")))</f>
        <v>Total Potential Service to Retirement Date </v>
      </c>
      <c r="C27" s="51" t="str">
        <f>ROUND(MIN('Member Calcs'!AA9,40),3)&amp;" year(s)"</f>
        <v>12.224 year(s)</v>
      </c>
    </row>
    <row r="28" spans="2:3" ht="12">
      <c r="B28" s="50"/>
      <c r="C28" s="51"/>
    </row>
    <row r="29" spans="2:3" ht="12">
      <c r="B29" s="50" t="s">
        <v>170</v>
      </c>
      <c r="C29" s="64">
        <f>'Member Calcs'!$N$9</f>
        <v>0</v>
      </c>
    </row>
    <row r="30" spans="2:3" ht="12">
      <c r="B30" s="55"/>
      <c r="C30" s="51"/>
    </row>
    <row r="31" spans="2:3" ht="12">
      <c r="B31" s="50" t="s">
        <v>181</v>
      </c>
      <c r="C31" s="64">
        <f>'Member Calcs'!F3</f>
        <v>13843</v>
      </c>
    </row>
    <row r="32" spans="2:8" ht="12">
      <c r="B32" s="50" t="s">
        <v>58</v>
      </c>
      <c r="C32" s="64">
        <f>'Member Calcs'!AD9</f>
        <v>46145</v>
      </c>
      <c r="H32" s="73"/>
    </row>
    <row r="33" spans="2:3" ht="12">
      <c r="B33" s="55"/>
      <c r="C33" s="51"/>
    </row>
    <row r="34" spans="2:3" ht="12">
      <c r="B34" s="57"/>
      <c r="C34" s="51"/>
    </row>
    <row r="35" spans="2:3" ht="12">
      <c r="B35" s="58" t="str">
        <f>"Calculation of "&amp;IF(Inputs!$D$31=Inputs!$R$25,"Death in Service Benefits at ",IF(Inputs!$D$31=Inputs!$R$24,"Illustrative Early Retirement Benefits payable from ","Illustrative Retirement Benefits payable from "))&amp;IF(Inputs!$D$31=Inputs!$R$23,TEXT('Member Calcs'!$H$4,"dd/mm/yyyy"),IF(Inputs!$D$31=Inputs!$R$25,TEXT('Member Calcs'!$E$1,"dd/mm/yyyy"),TEXT('Member Calcs'!$H$9,"dd/mm/yyyy")))&amp;" based on the information above"</f>
        <v>Calculation of Illustrative Retirement Benefits payable from 30/09/2035 based on the information above</v>
      </c>
      <c r="C35" s="59"/>
    </row>
    <row r="36" spans="2:3" ht="12">
      <c r="B36" s="57"/>
      <c r="C36" s="51"/>
    </row>
    <row r="37" spans="2:3" ht="12">
      <c r="B37" s="60" t="s">
        <v>171</v>
      </c>
      <c r="C37" s="64">
        <f>IF(Inputs!$D$31=Inputs!$R$25,'Member Calcs'!$AP$9,"")</f>
      </c>
    </row>
    <row r="38" spans="2:3" ht="5.25" customHeight="1">
      <c r="B38" s="55"/>
      <c r="C38" s="51"/>
    </row>
    <row r="39" spans="2:5" ht="12">
      <c r="B39" s="55" t="str">
        <f>IF(Inputs!$D$31=Inputs!$R$25,"","3/80 * "&amp;ROUND(MIN('Member Calcs'!$AA$9,40),3)&amp;" years * €"&amp;'Member Calcs'!$N$9&amp;IF(Inputs!$D$31=Inputs!$R$24," * Early Retirement Factor of "&amp;'Member Calcs'!$AX$14&amp;"%",""))</f>
        <v>3/80 * 12.224 years * €0</v>
      </c>
      <c r="C39" s="64">
        <f>IF(Inputs!$D$31=Inputs!$R$25,"",IF(Inputs!$D$31=Inputs!$R$24,'Member Calcs'!$AX$9,'Member Calcs'!$AL$9))</f>
        <v>0</v>
      </c>
      <c r="E39" s="74"/>
    </row>
    <row r="40" spans="2:3" ht="12">
      <c r="B40" s="50">
        <f>IF(Inputs!$D$31=Inputs!$R$25,"This is the minimum gratuity payable in the event of your death in service (based on current salary)","")</f>
      </c>
      <c r="C40" s="51"/>
    </row>
    <row r="41" spans="2:3" ht="12">
      <c r="B41" s="60" t="str">
        <f>IF(Inputs!$D$31=Inputs!$R$25,"",IF('Member Calcs'!C9="Class A","Co-ordinated Scheme Pension","Scheme Pension"))</f>
        <v>Co-ordinated Scheme Pension</v>
      </c>
      <c r="C41" s="51"/>
    </row>
    <row r="42" spans="2:3" ht="5.25" customHeight="1">
      <c r="B42" s="55"/>
      <c r="C42" s="51"/>
    </row>
    <row r="43" spans="2:5" ht="12">
      <c r="B43" s="55" t="str">
        <f>IF('Member Calcs'!$C$9="Class D","",IF(Inputs!$D$31=Inputs!$R$25,"","1/200 * "&amp;ROUND(MIN('Member Calcs'!$AA$9,40),3)&amp;" years * €"&amp;'Member Calcs'!$AF$10&amp;IF(Inputs!$D$31=Inputs!$R$24," * Early Retirement Factor of "&amp;'Member Calcs'!$AW$14&amp;"%","")))</f>
        <v>1/200 * 12.224 years * €0</v>
      </c>
      <c r="C43" s="64">
        <f>IF('Member Calcs'!C9="Class D","",IF(Inputs!$D$31=Inputs!$R$25,"",IF(Inputs!$D$31=Inputs!$R$24,'Member Calcs'!$AW$9,'Member Calcs'!$AH$9)))</f>
        <v>0</v>
      </c>
      <c r="E43" s="73"/>
    </row>
    <row r="44" spans="2:3" ht="12">
      <c r="B44" s="61" t="str">
        <f>IF('Member Calcs'!$C$9="Class D","",IF(Inputs!$D$31=Inputs!$R$25,"","Plus"))</f>
        <v>Plus</v>
      </c>
      <c r="C44" s="51"/>
    </row>
    <row r="45" spans="2:5" ht="12">
      <c r="B45" s="55" t="str">
        <f>IF(Inputs!$D$31=Inputs!$R$25,"","1/80 * "&amp;ROUND(MIN('Member Calcs'!$AA$9,40),3)&amp;" years * €"&amp;'Member Calcs'!$AG$10&amp;IF(Inputs!$D$31=Inputs!$R$24," * Early Retirement Factor of "&amp;'Member Calcs'!$AW$14&amp;"%",""))</f>
        <v>1/80 * 12.224 years * €0</v>
      </c>
      <c r="C45" s="64">
        <f>IF(Inputs!$D$31=Inputs!$R$25,"",IF(Inputs!$D$31=Inputs!$R$24,'Member Calcs'!$AV$9,'Member Calcs'!$AI$9))</f>
        <v>0</v>
      </c>
      <c r="E45" s="75"/>
    </row>
    <row r="46" spans="2:5" ht="12">
      <c r="B46" s="55"/>
      <c r="C46" s="64"/>
      <c r="E46" s="75"/>
    </row>
    <row r="47" spans="2:3" ht="12">
      <c r="B47" s="134" t="str">
        <f>IF(Inputs!$D$31=Inputs!$R$25,"","Total Scheme Pension")</f>
        <v>Total Scheme Pension</v>
      </c>
      <c r="C47" s="128" t="str">
        <f>IF(Inputs!$D$31=Inputs!$R$25,"",TEXT(IF('Member Calcs'!C9="Class D",C45,C43+C45),"€#,##0")&amp;" per annum")</f>
        <v>€0 per annum</v>
      </c>
    </row>
    <row r="48" spans="2:3" ht="6" customHeight="1">
      <c r="B48" s="50"/>
      <c r="C48" s="51"/>
    </row>
    <row r="49" spans="2:3" ht="6" customHeight="1">
      <c r="B49" s="50"/>
      <c r="C49" s="51"/>
    </row>
    <row r="50" spans="2:3" ht="6" customHeight="1">
      <c r="B50" s="50"/>
      <c r="C50" s="51"/>
    </row>
    <row r="51" spans="2:3" ht="6" customHeight="1">
      <c r="B51" s="50"/>
      <c r="C51" s="51"/>
    </row>
    <row r="52" spans="2:3" ht="12">
      <c r="B52" s="58" t="str">
        <f>"Spouses and Childrens Benefits on Death "&amp;IF(Inputs!$D$31=Inputs!$R$25,"in Service at "&amp;IF(Inputs!$D$31=Inputs!$R$25,TEXT('Member Calcs'!$E$1,"dd/mm/yyyy"),TEXT('Member Calcs'!$H$9,"dd/mm/yyyy")),"after Retirement")&amp;" based on the information above"</f>
        <v>Spouses and Childrens Benefits on Death after Retirement based on the information above</v>
      </c>
      <c r="C52" s="59"/>
    </row>
    <row r="53" spans="2:3" ht="12">
      <c r="B53" s="50"/>
      <c r="C53" s="51"/>
    </row>
    <row r="54" spans="2:3" ht="12">
      <c r="B54" s="55" t="str">
        <f>"If you are a member of the Spouse and Children's Scheme and should you predecease your "</f>
        <v>If you are a member of the Spouse and Children's Scheme and should you predecease your </v>
      </c>
      <c r="C54" s="51"/>
    </row>
    <row r="55" spans="2:3" ht="12">
      <c r="B55" s="55" t="str">
        <f>"spouse "&amp;IF(Inputs!$D$31=Inputs!$R$25,"before","after")&amp;" your retirement, your spouse would receive a pension of "</f>
        <v>spouse after your retirement, your spouse would receive a pension of </v>
      </c>
      <c r="C55" s="64" t="str">
        <f>TEXT(IF(Inputs!$D$31=Inputs!$R$25,'Member Calcs'!$AS$9,'Member Calcs'!$AZ$9),"€#,##0")&amp;" per annum"</f>
        <v>€0 per annum</v>
      </c>
    </row>
    <row r="56" spans="2:3" ht="12">
      <c r="B56" s="55"/>
      <c r="C56" s="51"/>
    </row>
    <row r="57" spans="2:3" ht="12">
      <c r="B57" s="50"/>
      <c r="C57" s="51"/>
    </row>
    <row r="58" spans="2:3" ht="12">
      <c r="B58" s="55" t="s">
        <v>119</v>
      </c>
      <c r="C58" s="64" t="str">
        <f>TEXT(IF(Inputs!$D$31=Inputs!$R$25,'Member Calcs'!$AT$9,'Member Calcs'!$BA$9),"€#,##0")&amp;" per annum"</f>
        <v>€0 per annum</v>
      </c>
    </row>
    <row r="59" spans="2:3" ht="12">
      <c r="B59" s="62" t="s">
        <v>159</v>
      </c>
      <c r="C59" s="63"/>
    </row>
    <row r="60" spans="2:3" ht="12">
      <c r="B60" s="55"/>
      <c r="C60" s="51"/>
    </row>
    <row r="61" spans="2:3" ht="12">
      <c r="B61" s="50"/>
      <c r="C61" s="51"/>
    </row>
    <row r="62" spans="2:3" ht="12">
      <c r="B62" s="65" t="s">
        <v>160</v>
      </c>
      <c r="C62" s="59"/>
    </row>
    <row r="63" spans="2:3" ht="12">
      <c r="B63" s="55" t="str">
        <f>"may be payable separately by the Department of Social Protection – currently €"&amp;LEFT(C31,2)&amp;","&amp;RIGHT(C31,3)&amp;" per annum (full rate)."</f>
        <v>may be payable separately by the Department of Social Protection – currently €13,843 per annum (full rate).</v>
      </c>
      <c r="C63" s="51"/>
    </row>
    <row r="64" spans="2:3" ht="12">
      <c r="B64" s="55" t="s">
        <v>120</v>
      </c>
      <c r="C64" s="51"/>
    </row>
    <row r="65" spans="2:3" ht="12">
      <c r="B65" s="62" t="s">
        <v>121</v>
      </c>
      <c r="C65" s="63"/>
    </row>
    <row r="66" spans="2:3" ht="12">
      <c r="B66" s="50"/>
      <c r="C66" s="51"/>
    </row>
    <row r="67" spans="2:3" ht="12">
      <c r="B67" s="66" t="s">
        <v>115</v>
      </c>
      <c r="C67" s="51"/>
    </row>
    <row r="68" spans="2:3" ht="12">
      <c r="B68" s="50"/>
      <c r="C68" s="51"/>
    </row>
    <row r="69" spans="2:3" ht="12">
      <c r="B69" s="50" t="str">
        <f ca="1">"Date Prepared "&amp;TEXT(TODAY(),"dd/mm/yyyy")</f>
        <v>Date Prepared 10/07/2023</v>
      </c>
      <c r="C69" s="51"/>
    </row>
    <row r="70" spans="2:3" ht="12">
      <c r="B70" s="67"/>
      <c r="C70" s="51"/>
    </row>
    <row r="71" spans="2:3" ht="12">
      <c r="B71" s="50" t="s">
        <v>133</v>
      </c>
      <c r="C71" s="51"/>
    </row>
    <row r="72" spans="2:3" ht="12">
      <c r="B72" s="66"/>
      <c r="C72" s="51"/>
    </row>
    <row r="73" spans="2:3" ht="12.75" thickBot="1">
      <c r="B73" s="69"/>
      <c r="C73" s="70"/>
    </row>
    <row r="74" spans="2:3" ht="12">
      <c r="B74" s="66"/>
      <c r="C74" s="51"/>
    </row>
    <row r="75" spans="2:11" ht="12">
      <c r="B75" s="53" t="s">
        <v>151</v>
      </c>
      <c r="C75" s="51"/>
      <c r="K75" s="76" t="s">
        <v>59</v>
      </c>
    </row>
    <row r="76" spans="2:3" ht="12">
      <c r="B76" s="82" t="s">
        <v>182</v>
      </c>
      <c r="C76" s="51"/>
    </row>
    <row r="77" spans="2:3" ht="12">
      <c r="B77" s="55"/>
      <c r="C77" s="51"/>
    </row>
    <row r="78" spans="2:3" ht="12">
      <c r="B78" s="77" t="s">
        <v>61</v>
      </c>
      <c r="C78" s="51"/>
    </row>
    <row r="79" spans="2:3" ht="12">
      <c r="B79" s="68"/>
      <c r="C79" s="51"/>
    </row>
    <row r="80" spans="2:3" ht="12">
      <c r="B80" s="78" t="s">
        <v>123</v>
      </c>
      <c r="C80" s="51"/>
    </row>
    <row r="81" spans="2:3" ht="12">
      <c r="B81" s="68"/>
      <c r="C81" s="51"/>
    </row>
    <row r="82" spans="2:3" ht="12">
      <c r="B82" s="55" t="s">
        <v>192</v>
      </c>
      <c r="C82" s="51"/>
    </row>
    <row r="83" spans="2:3" ht="12">
      <c r="B83" s="78" t="s">
        <v>161</v>
      </c>
      <c r="C83" s="51"/>
    </row>
    <row r="84" spans="2:3" ht="12">
      <c r="B84" s="55" t="s">
        <v>124</v>
      </c>
      <c r="C84" s="51"/>
    </row>
    <row r="85" spans="2:3" ht="12">
      <c r="B85" s="68"/>
      <c r="C85" s="51"/>
    </row>
    <row r="86" spans="2:3" ht="12">
      <c r="B86" s="55" t="s">
        <v>125</v>
      </c>
      <c r="C86" s="51"/>
    </row>
    <row r="87" spans="2:3" ht="12">
      <c r="B87" s="55" t="s">
        <v>126</v>
      </c>
      <c r="C87" s="51"/>
    </row>
    <row r="88" spans="2:3" ht="12">
      <c r="B88" s="55"/>
      <c r="C88" s="51"/>
    </row>
    <row r="89" spans="2:3" ht="12">
      <c r="B89" s="55" t="s">
        <v>162</v>
      </c>
      <c r="C89" s="51"/>
    </row>
    <row r="90" spans="2:3" ht="12">
      <c r="B90" s="55" t="s">
        <v>127</v>
      </c>
      <c r="C90" s="51"/>
    </row>
    <row r="91" spans="2:3" ht="12">
      <c r="B91" s="55"/>
      <c r="C91" s="51"/>
    </row>
    <row r="92" spans="2:3" ht="12">
      <c r="B92" s="55" t="s">
        <v>179</v>
      </c>
      <c r="C92" s="51"/>
    </row>
    <row r="93" spans="2:3" ht="12">
      <c r="B93" s="55" t="s">
        <v>194</v>
      </c>
      <c r="C93" s="51"/>
    </row>
    <row r="94" spans="2:3" ht="12">
      <c r="B94" s="55" t="s">
        <v>163</v>
      </c>
      <c r="C94" s="51"/>
    </row>
    <row r="95" spans="2:3" ht="12">
      <c r="B95" s="55" t="s">
        <v>180</v>
      </c>
      <c r="C95" s="51"/>
    </row>
    <row r="96" spans="2:3" ht="12">
      <c r="B96" s="55"/>
      <c r="C96" s="51"/>
    </row>
    <row r="97" spans="2:3" ht="12">
      <c r="B97" s="55" t="s">
        <v>164</v>
      </c>
      <c r="C97" s="51"/>
    </row>
    <row r="98" spans="2:3" ht="12">
      <c r="B98" s="55" t="s">
        <v>128</v>
      </c>
      <c r="C98" s="51"/>
    </row>
    <row r="99" spans="2:3" ht="12">
      <c r="B99" s="55" t="s">
        <v>129</v>
      </c>
      <c r="C99" s="51"/>
    </row>
    <row r="100" spans="2:3" ht="12">
      <c r="B100" s="55" t="s">
        <v>130</v>
      </c>
      <c r="C100" s="51"/>
    </row>
    <row r="101" spans="2:3" ht="12">
      <c r="B101" s="55" t="s">
        <v>131</v>
      </c>
      <c r="C101" s="51"/>
    </row>
    <row r="102" spans="2:3" ht="12">
      <c r="B102" s="55"/>
      <c r="C102" s="51"/>
    </row>
    <row r="103" spans="2:3" ht="12">
      <c r="B103" s="55" t="s">
        <v>132</v>
      </c>
      <c r="C103" s="51"/>
    </row>
    <row r="104" spans="2:3" ht="12">
      <c r="B104" s="55" t="s">
        <v>195</v>
      </c>
      <c r="C104" s="51"/>
    </row>
    <row r="105" spans="2:3" ht="12">
      <c r="B105" s="55" t="s">
        <v>196</v>
      </c>
      <c r="C105" s="51"/>
    </row>
    <row r="106" spans="2:3" ht="12">
      <c r="B106" s="55" t="s">
        <v>197</v>
      </c>
      <c r="C106" s="51"/>
    </row>
    <row r="107" spans="2:3" ht="12">
      <c r="B107" s="55" t="s">
        <v>198</v>
      </c>
      <c r="C107" s="51"/>
    </row>
    <row r="108" spans="2:3" ht="12">
      <c r="B108" s="55"/>
      <c r="C108" s="51"/>
    </row>
    <row r="109" spans="2:3" ht="12">
      <c r="B109" s="55" t="s">
        <v>208</v>
      </c>
      <c r="C109" s="51"/>
    </row>
    <row r="110" spans="2:3" ht="12">
      <c r="B110" s="55" t="s">
        <v>209</v>
      </c>
      <c r="C110" s="51"/>
    </row>
    <row r="111" spans="2:3" ht="12">
      <c r="B111" s="55"/>
      <c r="C111" s="51"/>
    </row>
    <row r="112" spans="2:3" ht="12">
      <c r="B112" s="55"/>
      <c r="C112" s="51"/>
    </row>
    <row r="113" spans="2:3" ht="12">
      <c r="B113" s="55"/>
      <c r="C113" s="51"/>
    </row>
    <row r="114" spans="2:3" ht="12">
      <c r="B114" s="79"/>
      <c r="C114" s="51"/>
    </row>
    <row r="115" spans="2:3" ht="12">
      <c r="B115" s="50" t="s">
        <v>60</v>
      </c>
      <c r="C115" s="51"/>
    </row>
    <row r="116" spans="2:3" ht="12">
      <c r="B116" s="50"/>
      <c r="C116" s="51"/>
    </row>
    <row r="117" spans="2:3" ht="12">
      <c r="B117" s="68"/>
      <c r="C117" s="51"/>
    </row>
    <row r="118" spans="2:3" ht="12">
      <c r="B118" s="50" t="str">
        <f ca="1">"Date Prepared "&amp;TEXT(TODAY(),"dd/mm/yyyy")</f>
        <v>Date Prepared 10/07/2023</v>
      </c>
      <c r="C118" s="51"/>
    </row>
    <row r="119" spans="2:3" ht="12">
      <c r="B119" s="79"/>
      <c r="C119" s="51"/>
    </row>
    <row r="120" spans="2:11" ht="12">
      <c r="B120" s="79"/>
      <c r="C120" s="51"/>
      <c r="K120" s="76" t="s">
        <v>59</v>
      </c>
    </row>
    <row r="121" spans="2:3" ht="12">
      <c r="B121" s="79"/>
      <c r="C121" s="51"/>
    </row>
    <row r="122" spans="2:3" ht="12.75" thickBot="1">
      <c r="B122" s="80"/>
      <c r="C122" s="70"/>
    </row>
    <row r="123" ht="12">
      <c r="B123" s="81"/>
    </row>
    <row r="124" ht="12">
      <c r="B124" s="81"/>
    </row>
    <row r="125" ht="12">
      <c r="B125" s="76"/>
    </row>
    <row r="126" ht="12">
      <c r="B126" s="8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K126"/>
  <sheetViews>
    <sheetView workbookViewId="0" topLeftCell="A1">
      <selection activeCell="B1" sqref="B1"/>
    </sheetView>
  </sheetViews>
  <sheetFormatPr defaultColWidth="9.140625" defaultRowHeight="12.75"/>
  <cols>
    <col min="1" max="1" width="9.140625" style="71" customWidth="1"/>
    <col min="2" max="2" width="74.7109375" style="71" customWidth="1"/>
    <col min="3" max="3" width="27.00390625" style="71" customWidth="1"/>
    <col min="4" max="6" width="9.140625" style="71" customWidth="1"/>
    <col min="7" max="7" width="9.8515625" style="71" bestFit="1" customWidth="1"/>
    <col min="8" max="16384" width="9.140625" style="71" customWidth="1"/>
  </cols>
  <sheetData>
    <row r="1" spans="2:3" ht="12">
      <c r="B1" s="48"/>
      <c r="C1" s="49"/>
    </row>
    <row r="2" spans="2:3" ht="12">
      <c r="B2" s="53" t="s">
        <v>151</v>
      </c>
      <c r="C2" s="51"/>
    </row>
    <row r="3" spans="2:3" ht="12">
      <c r="B3" s="82" t="s">
        <v>182</v>
      </c>
      <c r="C3" s="51"/>
    </row>
    <row r="4" spans="2:3" ht="12">
      <c r="B4" s="50"/>
      <c r="C4" s="51"/>
    </row>
    <row r="5" spans="2:3" ht="12">
      <c r="B5" s="52" t="s">
        <v>54</v>
      </c>
      <c r="C5" s="51"/>
    </row>
    <row r="6" spans="2:3" ht="12">
      <c r="B6" s="53"/>
      <c r="C6" s="51"/>
    </row>
    <row r="7" spans="2:3" ht="12">
      <c r="B7" s="50" t="s">
        <v>55</v>
      </c>
      <c r="C7" s="51" t="s">
        <v>184</v>
      </c>
    </row>
    <row r="8" spans="2:3" ht="12">
      <c r="B8" s="50"/>
      <c r="C8" s="51"/>
    </row>
    <row r="9" spans="2:9" ht="12">
      <c r="B9" s="50" t="s">
        <v>56</v>
      </c>
      <c r="C9" s="54">
        <v>25569</v>
      </c>
      <c r="I9" s="72"/>
    </row>
    <row r="10" spans="2:3" ht="12">
      <c r="B10" s="50"/>
      <c r="C10" s="51"/>
    </row>
    <row r="11" spans="2:7" ht="12">
      <c r="B11" s="50" t="s">
        <v>174</v>
      </c>
      <c r="C11" s="54">
        <v>49582</v>
      </c>
      <c r="G11" s="72"/>
    </row>
    <row r="12" spans="2:3" ht="12">
      <c r="B12" s="55"/>
      <c r="C12" s="51"/>
    </row>
    <row r="13" spans="2:3" ht="12">
      <c r="B13" s="50" t="s">
        <v>28</v>
      </c>
      <c r="C13" s="51" t="s">
        <v>29</v>
      </c>
    </row>
    <row r="14" spans="2:3" ht="12">
      <c r="B14" s="55"/>
      <c r="C14" s="51"/>
    </row>
    <row r="15" spans="2:3" ht="12">
      <c r="B15" s="50" t="s">
        <v>173</v>
      </c>
      <c r="C15" s="51" t="s">
        <v>75</v>
      </c>
    </row>
    <row r="16" spans="2:3" ht="12">
      <c r="B16" s="55"/>
      <c r="C16" s="51"/>
    </row>
    <row r="17" spans="2:6" ht="12">
      <c r="B17" s="50" t="s">
        <v>200</v>
      </c>
      <c r="C17" s="54">
        <v>49582</v>
      </c>
      <c r="F17" s="72"/>
    </row>
    <row r="18" spans="2:3" ht="12">
      <c r="B18" s="55"/>
      <c r="C18" s="51"/>
    </row>
    <row r="19" spans="2:3" ht="12">
      <c r="B19" s="50" t="s">
        <v>57</v>
      </c>
      <c r="C19" s="51"/>
    </row>
    <row r="20" spans="2:3" ht="12">
      <c r="B20" s="50" t="s">
        <v>176</v>
      </c>
      <c r="C20" s="56" t="s">
        <v>193</v>
      </c>
    </row>
    <row r="21" spans="2:3" ht="12">
      <c r="B21" s="55"/>
      <c r="C21" s="51"/>
    </row>
    <row r="22" spans="2:3" ht="12">
      <c r="B22" s="50" t="s">
        <v>175</v>
      </c>
      <c r="C22" s="51"/>
    </row>
    <row r="23" spans="2:3" ht="12">
      <c r="B23" s="50" t="s">
        <v>210</v>
      </c>
      <c r="C23" s="56" t="s">
        <v>215</v>
      </c>
    </row>
    <row r="24" spans="2:3" ht="12">
      <c r="B24" s="55"/>
      <c r="C24" s="51"/>
    </row>
    <row r="25" spans="2:7" ht="12">
      <c r="B25" s="50" t="s">
        <v>158</v>
      </c>
      <c r="C25" s="56" t="s">
        <v>193</v>
      </c>
      <c r="G25" s="72"/>
    </row>
    <row r="26" spans="2:3" ht="12">
      <c r="B26" s="50"/>
      <c r="C26" s="51"/>
    </row>
    <row r="27" spans="2:3" ht="12">
      <c r="B27" s="50" t="s">
        <v>201</v>
      </c>
      <c r="C27" s="51" t="s">
        <v>215</v>
      </c>
    </row>
    <row r="28" spans="2:3" ht="12">
      <c r="B28" s="50"/>
      <c r="C28" s="51"/>
    </row>
    <row r="29" spans="2:3" ht="12">
      <c r="B29" s="50" t="s">
        <v>170</v>
      </c>
      <c r="C29" s="64">
        <v>0</v>
      </c>
    </row>
    <row r="30" spans="2:3" ht="12">
      <c r="B30" s="55"/>
      <c r="C30" s="51"/>
    </row>
    <row r="31" spans="2:3" ht="12">
      <c r="B31" s="50" t="s">
        <v>181</v>
      </c>
      <c r="C31" s="64">
        <v>13843</v>
      </c>
    </row>
    <row r="32" spans="2:8" ht="12">
      <c r="B32" s="50" t="s">
        <v>58</v>
      </c>
      <c r="C32" s="64">
        <v>46145</v>
      </c>
      <c r="H32" s="73"/>
    </row>
    <row r="33" spans="2:3" ht="12">
      <c r="B33" s="55"/>
      <c r="C33" s="51"/>
    </row>
    <row r="34" spans="2:3" ht="12">
      <c r="B34" s="57"/>
      <c r="C34" s="51"/>
    </row>
    <row r="35" spans="2:3" ht="12">
      <c r="B35" s="58" t="s">
        <v>211</v>
      </c>
      <c r="C35" s="59"/>
    </row>
    <row r="36" spans="2:3" ht="12">
      <c r="B36" s="57"/>
      <c r="C36" s="51"/>
    </row>
    <row r="37" spans="2:3" ht="12">
      <c r="B37" s="60" t="s">
        <v>171</v>
      </c>
      <c r="C37" s="64" t="s">
        <v>122</v>
      </c>
    </row>
    <row r="38" spans="2:3" ht="5.25" customHeight="1">
      <c r="B38" s="55"/>
      <c r="C38" s="51"/>
    </row>
    <row r="39" spans="2:5" ht="12">
      <c r="B39" s="55" t="s">
        <v>218</v>
      </c>
      <c r="C39" s="64">
        <v>0</v>
      </c>
      <c r="E39" s="74"/>
    </row>
    <row r="40" spans="2:3" ht="12">
      <c r="B40" s="50" t="s">
        <v>122</v>
      </c>
      <c r="C40" s="51"/>
    </row>
    <row r="41" spans="2:3" ht="12">
      <c r="B41" s="60" t="s">
        <v>202</v>
      </c>
      <c r="C41" s="51"/>
    </row>
    <row r="42" spans="2:3" ht="5.25" customHeight="1">
      <c r="B42" s="55"/>
      <c r="C42" s="51"/>
    </row>
    <row r="43" spans="2:5" ht="12">
      <c r="B43" s="55" t="s">
        <v>219</v>
      </c>
      <c r="C43" s="64">
        <v>0</v>
      </c>
      <c r="E43" s="73"/>
    </row>
    <row r="44" spans="2:3" ht="12">
      <c r="B44" s="61" t="s">
        <v>203</v>
      </c>
      <c r="C44" s="51"/>
    </row>
    <row r="45" spans="2:5" ht="12">
      <c r="B45" s="55" t="s">
        <v>220</v>
      </c>
      <c r="C45" s="64">
        <v>0</v>
      </c>
      <c r="E45" s="75"/>
    </row>
    <row r="46" spans="2:5" ht="12">
      <c r="B46" s="55"/>
      <c r="C46" s="64"/>
      <c r="E46" s="75"/>
    </row>
    <row r="47" spans="2:3" ht="12">
      <c r="B47" s="134" t="s">
        <v>204</v>
      </c>
      <c r="C47" s="128" t="s">
        <v>205</v>
      </c>
    </row>
    <row r="48" spans="2:3" ht="6" customHeight="1">
      <c r="B48" s="50"/>
      <c r="C48" s="51"/>
    </row>
    <row r="49" spans="2:3" ht="6" customHeight="1">
      <c r="B49" s="50"/>
      <c r="C49" s="51"/>
    </row>
    <row r="50" spans="2:3" ht="6" customHeight="1">
      <c r="B50" s="50"/>
      <c r="C50" s="51"/>
    </row>
    <row r="51" spans="2:3" ht="6" customHeight="1">
      <c r="B51" s="50"/>
      <c r="C51" s="51"/>
    </row>
    <row r="52" spans="2:3" ht="12">
      <c r="B52" s="58" t="s">
        <v>206</v>
      </c>
      <c r="C52" s="59"/>
    </row>
    <row r="53" spans="2:3" ht="12">
      <c r="B53" s="50"/>
      <c r="C53" s="51"/>
    </row>
    <row r="54" spans="2:3" ht="12">
      <c r="B54" s="55" t="s">
        <v>134</v>
      </c>
      <c r="C54" s="51"/>
    </row>
    <row r="55" spans="2:3" ht="12">
      <c r="B55" s="55" t="s">
        <v>207</v>
      </c>
      <c r="C55" s="64" t="s">
        <v>205</v>
      </c>
    </row>
    <row r="56" spans="2:3" ht="12">
      <c r="B56" s="55"/>
      <c r="C56" s="51"/>
    </row>
    <row r="57" spans="2:3" ht="12">
      <c r="B57" s="50"/>
      <c r="C57" s="51"/>
    </row>
    <row r="58" spans="2:3" ht="12">
      <c r="B58" s="55" t="s">
        <v>119</v>
      </c>
      <c r="C58" s="64" t="s">
        <v>205</v>
      </c>
    </row>
    <row r="59" spans="2:3" ht="12">
      <c r="B59" s="62" t="s">
        <v>159</v>
      </c>
      <c r="C59" s="63"/>
    </row>
    <row r="60" spans="2:3" ht="12">
      <c r="B60" s="55"/>
      <c r="C60" s="51"/>
    </row>
    <row r="61" spans="2:3" ht="12">
      <c r="B61" s="50"/>
      <c r="C61" s="51"/>
    </row>
    <row r="62" spans="2:3" ht="12">
      <c r="B62" s="65" t="s">
        <v>160</v>
      </c>
      <c r="C62" s="59"/>
    </row>
    <row r="63" spans="2:3" ht="12">
      <c r="B63" s="55" t="s">
        <v>216</v>
      </c>
      <c r="C63" s="51"/>
    </row>
    <row r="64" spans="2:3" ht="12">
      <c r="B64" s="55" t="s">
        <v>120</v>
      </c>
      <c r="C64" s="51"/>
    </row>
    <row r="65" spans="2:3" ht="12">
      <c r="B65" s="62" t="s">
        <v>121</v>
      </c>
      <c r="C65" s="63"/>
    </row>
    <row r="66" spans="2:3" ht="12">
      <c r="B66" s="50"/>
      <c r="C66" s="51"/>
    </row>
    <row r="67" spans="2:3" ht="12">
      <c r="B67" s="66" t="s">
        <v>135</v>
      </c>
      <c r="C67" s="51"/>
    </row>
    <row r="68" spans="2:3" ht="12">
      <c r="B68" s="50"/>
      <c r="C68" s="51"/>
    </row>
    <row r="69" spans="2:3" ht="12">
      <c r="B69" s="50" t="s">
        <v>217</v>
      </c>
      <c r="C69" s="51"/>
    </row>
    <row r="70" spans="2:3" ht="12">
      <c r="B70" s="67"/>
      <c r="C70" s="51"/>
    </row>
    <row r="71" spans="2:3" ht="12">
      <c r="B71" s="50" t="s">
        <v>133</v>
      </c>
      <c r="C71" s="51"/>
    </row>
    <row r="72" spans="2:3" ht="12">
      <c r="B72" s="66"/>
      <c r="C72" s="51"/>
    </row>
    <row r="73" spans="2:3" ht="12.75" thickBot="1">
      <c r="B73" s="69"/>
      <c r="C73" s="70"/>
    </row>
    <row r="74" spans="2:3" ht="12">
      <c r="B74" s="66"/>
      <c r="C74" s="51"/>
    </row>
    <row r="75" spans="2:11" ht="12">
      <c r="B75" s="53" t="s">
        <v>151</v>
      </c>
      <c r="C75" s="51"/>
      <c r="K75" s="76"/>
    </row>
    <row r="76" spans="2:3" ht="12">
      <c r="B76" s="82" t="s">
        <v>182</v>
      </c>
      <c r="C76" s="51"/>
    </row>
    <row r="77" spans="2:3" ht="12">
      <c r="B77" s="55"/>
      <c r="C77" s="51"/>
    </row>
    <row r="78" spans="2:3" ht="12">
      <c r="B78" s="77" t="s">
        <v>61</v>
      </c>
      <c r="C78" s="51"/>
    </row>
    <row r="79" spans="2:3" ht="12">
      <c r="B79" s="68"/>
      <c r="C79" s="51"/>
    </row>
    <row r="80" spans="2:3" ht="12">
      <c r="B80" s="78" t="s">
        <v>123</v>
      </c>
      <c r="C80" s="51"/>
    </row>
    <row r="81" spans="2:3" ht="12">
      <c r="B81" s="68"/>
      <c r="C81" s="51"/>
    </row>
    <row r="82" spans="2:3" ht="12">
      <c r="B82" s="55" t="s">
        <v>192</v>
      </c>
      <c r="C82" s="51"/>
    </row>
    <row r="83" spans="2:3" ht="12">
      <c r="B83" s="78" t="s">
        <v>161</v>
      </c>
      <c r="C83" s="51"/>
    </row>
    <row r="84" spans="2:3" ht="12">
      <c r="B84" s="55" t="s">
        <v>124</v>
      </c>
      <c r="C84" s="51"/>
    </row>
    <row r="85" spans="2:3" ht="12">
      <c r="B85" s="68"/>
      <c r="C85" s="51"/>
    </row>
    <row r="86" spans="2:3" ht="12">
      <c r="B86" s="55" t="s">
        <v>125</v>
      </c>
      <c r="C86" s="51"/>
    </row>
    <row r="87" spans="2:3" ht="12">
      <c r="B87" s="55" t="s">
        <v>126</v>
      </c>
      <c r="C87" s="51"/>
    </row>
    <row r="88" spans="2:3" ht="12">
      <c r="B88" s="55"/>
      <c r="C88" s="51"/>
    </row>
    <row r="89" spans="2:3" ht="12">
      <c r="B89" s="55" t="s">
        <v>162</v>
      </c>
      <c r="C89" s="51"/>
    </row>
    <row r="90" spans="2:3" ht="12">
      <c r="B90" s="55" t="s">
        <v>127</v>
      </c>
      <c r="C90" s="51"/>
    </row>
    <row r="91" spans="2:3" ht="12">
      <c r="B91" s="55"/>
      <c r="C91" s="51"/>
    </row>
    <row r="92" spans="2:3" ht="12">
      <c r="B92" s="55" t="s">
        <v>179</v>
      </c>
      <c r="C92" s="51"/>
    </row>
    <row r="93" spans="2:3" ht="12">
      <c r="B93" s="55" t="s">
        <v>194</v>
      </c>
      <c r="C93" s="51"/>
    </row>
    <row r="94" spans="2:3" ht="12">
      <c r="B94" s="55" t="s">
        <v>163</v>
      </c>
      <c r="C94" s="51"/>
    </row>
    <row r="95" spans="2:3" ht="12">
      <c r="B95" s="55" t="s">
        <v>180</v>
      </c>
      <c r="C95" s="51"/>
    </row>
    <row r="96" spans="2:3" ht="12">
      <c r="B96" s="55"/>
      <c r="C96" s="51"/>
    </row>
    <row r="97" spans="2:3" ht="12">
      <c r="B97" s="55" t="s">
        <v>164</v>
      </c>
      <c r="C97" s="51"/>
    </row>
    <row r="98" spans="2:3" ht="12">
      <c r="B98" s="55" t="s">
        <v>128</v>
      </c>
      <c r="C98" s="51"/>
    </row>
    <row r="99" spans="2:3" ht="12">
      <c r="B99" s="55" t="s">
        <v>129</v>
      </c>
      <c r="C99" s="51"/>
    </row>
    <row r="100" spans="2:3" ht="12">
      <c r="B100" s="55" t="s">
        <v>130</v>
      </c>
      <c r="C100" s="51"/>
    </row>
    <row r="101" spans="2:3" ht="12">
      <c r="B101" s="55" t="s">
        <v>131</v>
      </c>
      <c r="C101" s="51"/>
    </row>
    <row r="102" spans="2:3" ht="12">
      <c r="B102" s="55"/>
      <c r="C102" s="51"/>
    </row>
    <row r="103" spans="2:3" ht="12">
      <c r="B103" s="55" t="s">
        <v>132</v>
      </c>
      <c r="C103" s="51"/>
    </row>
    <row r="104" spans="2:3" ht="12">
      <c r="B104" s="55" t="s">
        <v>195</v>
      </c>
      <c r="C104" s="51"/>
    </row>
    <row r="105" spans="2:3" ht="12">
      <c r="B105" s="55" t="s">
        <v>196</v>
      </c>
      <c r="C105" s="51"/>
    </row>
    <row r="106" spans="2:3" ht="12">
      <c r="B106" s="55" t="s">
        <v>197</v>
      </c>
      <c r="C106" s="51"/>
    </row>
    <row r="107" spans="2:3" ht="12">
      <c r="B107" s="55" t="s">
        <v>198</v>
      </c>
      <c r="C107" s="51"/>
    </row>
    <row r="108" spans="2:3" ht="12">
      <c r="B108" s="55"/>
      <c r="C108" s="51"/>
    </row>
    <row r="109" spans="2:3" ht="12">
      <c r="B109" s="55" t="s">
        <v>208</v>
      </c>
      <c r="C109" s="51"/>
    </row>
    <row r="110" spans="2:3" ht="12">
      <c r="B110" s="55" t="s">
        <v>209</v>
      </c>
      <c r="C110" s="51"/>
    </row>
    <row r="111" spans="2:3" ht="12">
      <c r="B111" s="55"/>
      <c r="C111" s="51"/>
    </row>
    <row r="112" spans="2:3" ht="12">
      <c r="B112" s="55"/>
      <c r="C112" s="51"/>
    </row>
    <row r="113" spans="2:3" ht="12">
      <c r="B113" s="55"/>
      <c r="C113" s="51"/>
    </row>
    <row r="114" spans="2:3" ht="12">
      <c r="B114" s="79"/>
      <c r="C114" s="51"/>
    </row>
    <row r="115" spans="2:3" ht="12">
      <c r="B115" s="50" t="s">
        <v>60</v>
      </c>
      <c r="C115" s="51"/>
    </row>
    <row r="116" spans="2:3" ht="12">
      <c r="B116" s="50"/>
      <c r="C116" s="51"/>
    </row>
    <row r="117" spans="2:3" ht="12">
      <c r="B117" s="68"/>
      <c r="C117" s="51"/>
    </row>
    <row r="118" spans="2:3" ht="12">
      <c r="B118" s="50" t="s">
        <v>217</v>
      </c>
      <c r="C118" s="51"/>
    </row>
    <row r="119" spans="2:3" ht="12">
      <c r="B119" s="79"/>
      <c r="C119" s="51"/>
    </row>
    <row r="120" spans="2:11" ht="12">
      <c r="B120" s="79"/>
      <c r="C120" s="51"/>
      <c r="K120" s="76"/>
    </row>
    <row r="121" spans="2:3" ht="12">
      <c r="B121" s="79"/>
      <c r="C121" s="51"/>
    </row>
    <row r="122" spans="2:3" ht="12.75" thickBot="1">
      <c r="B122" s="80"/>
      <c r="C122" s="70"/>
    </row>
    <row r="123" ht="12">
      <c r="B123" s="81"/>
    </row>
    <row r="124" ht="12">
      <c r="B124" s="81"/>
    </row>
    <row r="125" ht="12">
      <c r="B125" s="76"/>
    </row>
    <row r="126" ht="12">
      <c r="B126" s="81"/>
    </row>
  </sheetData>
  <sheetProtection sheet="1" objects="1" scenarios="1"/>
  <printOptions/>
  <pageMargins left="0.75" right="0.75" top="1" bottom="1" header="0.5" footer="0.5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2011-05-17T09:44:35Z</cp:lastPrinted>
  <dcterms:created xsi:type="dcterms:W3CDTF">2011-04-12T09:54:55Z</dcterms:created>
  <dcterms:modified xsi:type="dcterms:W3CDTF">2023-07-10T12:21:15Z</dcterms:modified>
  <cp:category/>
  <cp:version/>
  <cp:contentType/>
  <cp:contentStatus/>
</cp:coreProperties>
</file>